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4cc8f40be6e7f54/Documents/Leadership-Tools 2017/Leadership 360 and More/Master Files/"/>
    </mc:Choice>
  </mc:AlternateContent>
  <xr:revisionPtr revIDLastSave="0" documentId="8_{CFB586FD-C4A9-4A13-976E-0C5CD7EA5CF9}" xr6:coauthVersionLast="47" xr6:coauthVersionMax="47" xr10:uidLastSave="{00000000-0000-0000-0000-000000000000}"/>
  <bookViews>
    <workbookView xWindow="-28920" yWindow="-120" windowWidth="29040" windowHeight="15720" tabRatio="500" xr2:uid="{00000000-000D-0000-FFFF-FFFF00000000}"/>
  </bookViews>
  <sheets>
    <sheet name="Start Here" sheetId="1" r:id="rId1"/>
    <sheet name="1. Startup Costs" sheetId="2" r:id="rId2"/>
    <sheet name="2. Sales Forecast" sheetId="3" r:id="rId3"/>
    <sheet name="3. Monthly Expenses" sheetId="4" r:id="rId4"/>
    <sheet name="Cash Flow Projection" sheetId="5" r:id="rId5"/>
    <sheet name="Income Statement" sheetId="6" r:id="rId6"/>
    <sheet name="Balance Sheet" sheetId="7" r:id="rId7"/>
    <sheet name="Completed Example" sheetId="8" r:id="rId8"/>
    <sheet name="Settings" sheetId="9" state="hidden" r:id="rId9"/>
  </sheets>
  <definedNames>
    <definedName name="PaymentTiming">Settings!$A$2:$A$3</definedName>
    <definedName name="PayTiming">'Start Here'!$C$14</definedName>
    <definedName name="_xlnm.Print_Area" localSheetId="1">'1. Startup Costs'!$A$1:$D$38</definedName>
    <definedName name="_xlnm.Print_Area" localSheetId="2">'2. Sales Forecast'!$A$1:$P$11</definedName>
    <definedName name="_xlnm.Print_Area" localSheetId="3">'3. Monthly Expenses'!$A$1:$P$34</definedName>
    <definedName name="_xlnm.Print_Area" localSheetId="6">'Balance Sheet'!$A$1:$D$28</definedName>
    <definedName name="_xlnm.Print_Area" localSheetId="4">'Cash Flow Projection'!$A$1:$P$16</definedName>
    <definedName name="_xlnm.Print_Area" localSheetId="7">'Completed Example'!$A$1:$P$116</definedName>
    <definedName name="_xlnm.Print_Area" localSheetId="5">'Income Statement'!$A$1:$E$24</definedName>
    <definedName name="_xlnm.Print_Area" localSheetId="8">Settings!$A$1:$B$19</definedName>
    <definedName name="_xlnm.Print_Area" localSheetId="0">'Start Here'!$A$1:$D$35</definedName>
    <definedName name="_xlnm.Print_Titles" localSheetId="2">'2. Sales Forecast'!$6:$6</definedName>
    <definedName name="_xlnm.Print_Titles" localSheetId="3">'3. Monthly Expenses'!$6:$6</definedName>
    <definedName name="_xlnm.Print_Titles" localSheetId="4">'Cash Flow Projection'!$4:$4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P8" i="4" l="1"/>
  <c r="C102" i="8"/>
  <c r="C99" i="8"/>
  <c r="C100" i="8" s="1"/>
  <c r="O71" i="8"/>
  <c r="N71" i="8"/>
  <c r="M71" i="8"/>
  <c r="L71" i="8"/>
  <c r="K71" i="8"/>
  <c r="J71" i="8"/>
  <c r="I71" i="8"/>
  <c r="H71" i="8"/>
  <c r="G71" i="8"/>
  <c r="F71" i="8"/>
  <c r="E71" i="8"/>
  <c r="D71" i="8"/>
  <c r="N70" i="8"/>
  <c r="L70" i="8"/>
  <c r="K70" i="8"/>
  <c r="G70" i="8"/>
  <c r="O68" i="8"/>
  <c r="N68" i="8"/>
  <c r="M68" i="8"/>
  <c r="L68" i="8"/>
  <c r="K68" i="8"/>
  <c r="J68" i="8"/>
  <c r="I68" i="8"/>
  <c r="H68" i="8"/>
  <c r="G68" i="8"/>
  <c r="F68" i="8"/>
  <c r="E68" i="8"/>
  <c r="L66" i="8"/>
  <c r="L67" i="8" s="1"/>
  <c r="I66" i="8"/>
  <c r="E66" i="8"/>
  <c r="D66" i="8"/>
  <c r="O65" i="8"/>
  <c r="N65" i="8"/>
  <c r="M65" i="8"/>
  <c r="L65" i="8"/>
  <c r="K65" i="8"/>
  <c r="J65" i="8"/>
  <c r="I65" i="8"/>
  <c r="H65" i="8"/>
  <c r="G65" i="8"/>
  <c r="F65" i="8"/>
  <c r="E65" i="8"/>
  <c r="D65" i="8"/>
  <c r="O64" i="8"/>
  <c r="N64" i="8"/>
  <c r="M64" i="8"/>
  <c r="L64" i="8"/>
  <c r="K64" i="8"/>
  <c r="J64" i="8"/>
  <c r="J67" i="8" s="1"/>
  <c r="I64" i="8"/>
  <c r="H64" i="8"/>
  <c r="G64" i="8"/>
  <c r="F64" i="8"/>
  <c r="F67" i="8" s="1"/>
  <c r="E64" i="8"/>
  <c r="E67" i="8" s="1"/>
  <c r="D64" i="8"/>
  <c r="D67" i="8" s="1"/>
  <c r="D63" i="8"/>
  <c r="P59" i="8"/>
  <c r="C103" i="8" s="1"/>
  <c r="O56" i="8"/>
  <c r="K56" i="8"/>
  <c r="O55" i="8"/>
  <c r="N55" i="8"/>
  <c r="N56" i="8" s="1"/>
  <c r="M55" i="8"/>
  <c r="M56" i="8" s="1"/>
  <c r="L55" i="8"/>
  <c r="L56" i="8" s="1"/>
  <c r="K55" i="8"/>
  <c r="J55" i="8"/>
  <c r="J56" i="8" s="1"/>
  <c r="I55" i="8"/>
  <c r="I56" i="8" s="1"/>
  <c r="H55" i="8"/>
  <c r="H56" i="8" s="1"/>
  <c r="G55" i="8"/>
  <c r="G56" i="8" s="1"/>
  <c r="F55" i="8"/>
  <c r="F56" i="8" s="1"/>
  <c r="E55" i="8"/>
  <c r="E56" i="8" s="1"/>
  <c r="D55" i="8"/>
  <c r="D56" i="8" s="1"/>
  <c r="P54" i="8"/>
  <c r="P53" i="8"/>
  <c r="P52" i="8"/>
  <c r="P51" i="8"/>
  <c r="P50" i="8"/>
  <c r="P49" i="8"/>
  <c r="P48" i="8"/>
  <c r="P47" i="8"/>
  <c r="J45" i="8"/>
  <c r="P44" i="8"/>
  <c r="O43" i="8"/>
  <c r="N43" i="8"/>
  <c r="M43" i="8"/>
  <c r="L43" i="8"/>
  <c r="K43" i="8"/>
  <c r="J43" i="8"/>
  <c r="I43" i="8"/>
  <c r="H43" i="8"/>
  <c r="G43" i="8"/>
  <c r="F43" i="8"/>
  <c r="E43" i="8"/>
  <c r="D43" i="8"/>
  <c r="O42" i="8"/>
  <c r="O45" i="8" s="1"/>
  <c r="O57" i="8" s="1"/>
  <c r="O69" i="8" s="1"/>
  <c r="N42" i="8"/>
  <c r="N45" i="8" s="1"/>
  <c r="N57" i="8" s="1"/>
  <c r="N69" i="8" s="1"/>
  <c r="M42" i="8"/>
  <c r="M45" i="8" s="1"/>
  <c r="L42" i="8"/>
  <c r="L45" i="8" s="1"/>
  <c r="K42" i="8"/>
  <c r="J42" i="8"/>
  <c r="I42" i="8"/>
  <c r="I45" i="8" s="1"/>
  <c r="H42" i="8"/>
  <c r="H45" i="8" s="1"/>
  <c r="G42" i="8"/>
  <c r="G45" i="8" s="1"/>
  <c r="G57" i="8" s="1"/>
  <c r="G69" i="8" s="1"/>
  <c r="F42" i="8"/>
  <c r="E42" i="8"/>
  <c r="E45" i="8" s="1"/>
  <c r="E57" i="8" s="1"/>
  <c r="E69" i="8" s="1"/>
  <c r="D42" i="8"/>
  <c r="D45" i="8" s="1"/>
  <c r="P41" i="8"/>
  <c r="O34" i="8"/>
  <c r="N34" i="8"/>
  <c r="O66" i="8" s="1"/>
  <c r="M34" i="8"/>
  <c r="N66" i="8" s="1"/>
  <c r="N67" i="8" s="1"/>
  <c r="L34" i="8"/>
  <c r="M66" i="8" s="1"/>
  <c r="K34" i="8"/>
  <c r="J34" i="8"/>
  <c r="K66" i="8" s="1"/>
  <c r="K67" i="8" s="1"/>
  <c r="I34" i="8"/>
  <c r="J66" i="8" s="1"/>
  <c r="H34" i="8"/>
  <c r="G34" i="8"/>
  <c r="H66" i="8" s="1"/>
  <c r="F34" i="8"/>
  <c r="G66" i="8" s="1"/>
  <c r="E34" i="8"/>
  <c r="F66" i="8" s="1"/>
  <c r="D34" i="8"/>
  <c r="P33" i="8"/>
  <c r="P32" i="8"/>
  <c r="C28" i="8"/>
  <c r="F70" i="8" s="1"/>
  <c r="C19" i="8"/>
  <c r="C87" i="8" s="1"/>
  <c r="C12" i="8"/>
  <c r="C97" i="8" s="1"/>
  <c r="C17" i="7"/>
  <c r="C13" i="7"/>
  <c r="C12" i="7"/>
  <c r="O13" i="5"/>
  <c r="N13" i="5"/>
  <c r="M13" i="5"/>
  <c r="L13" i="5"/>
  <c r="K13" i="5"/>
  <c r="J13" i="5"/>
  <c r="I13" i="5"/>
  <c r="H13" i="5"/>
  <c r="G13" i="5"/>
  <c r="F13" i="5"/>
  <c r="E13" i="5"/>
  <c r="D13" i="5"/>
  <c r="O10" i="5"/>
  <c r="N10" i="5"/>
  <c r="M10" i="5"/>
  <c r="L10" i="5"/>
  <c r="K10" i="5"/>
  <c r="J10" i="5"/>
  <c r="I10" i="5"/>
  <c r="H10" i="5"/>
  <c r="G10" i="5"/>
  <c r="F10" i="5"/>
  <c r="E10" i="5"/>
  <c r="O7" i="5"/>
  <c r="N7" i="5"/>
  <c r="M7" i="5"/>
  <c r="L7" i="5"/>
  <c r="K7" i="5"/>
  <c r="J7" i="5"/>
  <c r="I7" i="5"/>
  <c r="H7" i="5"/>
  <c r="G7" i="5"/>
  <c r="F7" i="5"/>
  <c r="E7" i="5"/>
  <c r="D7" i="5"/>
  <c r="O6" i="5"/>
  <c r="N6" i="5"/>
  <c r="M6" i="5"/>
  <c r="L6" i="5"/>
  <c r="K6" i="5"/>
  <c r="J6" i="5"/>
  <c r="I6" i="5"/>
  <c r="H6" i="5"/>
  <c r="G6" i="5"/>
  <c r="F6" i="5"/>
  <c r="E6" i="5"/>
  <c r="D6" i="5"/>
  <c r="D5" i="5"/>
  <c r="P33" i="4"/>
  <c r="C18" i="7" s="1"/>
  <c r="P27" i="4"/>
  <c r="P26" i="4"/>
  <c r="O25" i="4"/>
  <c r="O28" i="4" s="1"/>
  <c r="N25" i="4"/>
  <c r="N28" i="4" s="1"/>
  <c r="M25" i="4"/>
  <c r="M28" i="4" s="1"/>
  <c r="L25" i="4"/>
  <c r="L28" i="4" s="1"/>
  <c r="K25" i="4"/>
  <c r="K28" i="4" s="1"/>
  <c r="J25" i="4"/>
  <c r="J28" i="4" s="1"/>
  <c r="I25" i="4"/>
  <c r="I28" i="4" s="1"/>
  <c r="H25" i="4"/>
  <c r="H28" i="4" s="1"/>
  <c r="G25" i="4"/>
  <c r="G28" i="4" s="1"/>
  <c r="F25" i="4"/>
  <c r="F28" i="4" s="1"/>
  <c r="E25" i="4"/>
  <c r="E28" i="4" s="1"/>
  <c r="D25" i="4"/>
  <c r="D28" i="4" s="1"/>
  <c r="P24" i="4"/>
  <c r="P23" i="4"/>
  <c r="P22" i="4"/>
  <c r="P21" i="4"/>
  <c r="P20" i="4"/>
  <c r="P19" i="4"/>
  <c r="P18" i="4"/>
  <c r="P14" i="4"/>
  <c r="P12" i="4"/>
  <c r="P11" i="4"/>
  <c r="O10" i="4"/>
  <c r="N10" i="4"/>
  <c r="M10" i="4"/>
  <c r="L10" i="4"/>
  <c r="K10" i="4"/>
  <c r="J10" i="4"/>
  <c r="I10" i="4"/>
  <c r="H10" i="4"/>
  <c r="G10" i="4"/>
  <c r="F10" i="4"/>
  <c r="E10" i="4"/>
  <c r="D10" i="4"/>
  <c r="O9" i="4"/>
  <c r="N9" i="4"/>
  <c r="M9" i="4"/>
  <c r="M15" i="4" s="1"/>
  <c r="L9" i="4"/>
  <c r="L15" i="4" s="1"/>
  <c r="K9" i="4"/>
  <c r="K15" i="4" s="1"/>
  <c r="J9" i="4"/>
  <c r="I9" i="4"/>
  <c r="I15" i="4" s="1"/>
  <c r="H9" i="4"/>
  <c r="H15" i="4" s="1"/>
  <c r="G9" i="4"/>
  <c r="G15" i="4" s="1"/>
  <c r="F9" i="4"/>
  <c r="E9" i="4"/>
  <c r="E15" i="4" s="1"/>
  <c r="D9" i="4"/>
  <c r="D15" i="4" s="1"/>
  <c r="O11" i="3"/>
  <c r="N11" i="3"/>
  <c r="M11" i="3"/>
  <c r="L11" i="3"/>
  <c r="K11" i="3"/>
  <c r="L8" i="5" s="1"/>
  <c r="J11" i="3"/>
  <c r="I11" i="3"/>
  <c r="H11" i="3"/>
  <c r="I8" i="5" s="1"/>
  <c r="G11" i="3"/>
  <c r="H8" i="5" s="1"/>
  <c r="F11" i="3"/>
  <c r="G8" i="5" s="1"/>
  <c r="E11" i="3"/>
  <c r="F8" i="5" s="1"/>
  <c r="F9" i="5" s="1"/>
  <c r="D11" i="3"/>
  <c r="D8" i="5" s="1"/>
  <c r="P10" i="3"/>
  <c r="P9" i="3"/>
  <c r="P8" i="3"/>
  <c r="P7" i="3"/>
  <c r="C38" i="2"/>
  <c r="D12" i="5" s="1"/>
  <c r="C36" i="2"/>
  <c r="C23" i="2"/>
  <c r="C18" i="6" s="1"/>
  <c r="C14" i="2"/>
  <c r="C8" i="7" s="1"/>
  <c r="H70" i="8" l="1"/>
  <c r="K45" i="8"/>
  <c r="K57" i="8" s="1"/>
  <c r="K69" i="8" s="1"/>
  <c r="J57" i="8"/>
  <c r="J69" i="8" s="1"/>
  <c r="I70" i="8"/>
  <c r="J70" i="8"/>
  <c r="K72" i="8"/>
  <c r="P43" i="8"/>
  <c r="C80" i="8" s="1"/>
  <c r="H67" i="8"/>
  <c r="O70" i="8"/>
  <c r="J72" i="8"/>
  <c r="P34" i="8"/>
  <c r="G67" i="8"/>
  <c r="P56" i="8"/>
  <c r="I67" i="8"/>
  <c r="F45" i="8"/>
  <c r="F57" i="8" s="1"/>
  <c r="F69" i="8" s="1"/>
  <c r="D70" i="8"/>
  <c r="F15" i="4"/>
  <c r="F30" i="4" s="1"/>
  <c r="F11" i="5" s="1"/>
  <c r="F14" i="5" s="1"/>
  <c r="N8" i="5"/>
  <c r="N9" i="5" s="1"/>
  <c r="J8" i="5"/>
  <c r="J9" i="5" s="1"/>
  <c r="K8" i="5"/>
  <c r="K9" i="5" s="1"/>
  <c r="I9" i="5"/>
  <c r="O8" i="5"/>
  <c r="O9" i="5" s="1"/>
  <c r="L9" i="5"/>
  <c r="E8" i="5"/>
  <c r="E9" i="5" s="1"/>
  <c r="M8" i="5"/>
  <c r="M9" i="5" s="1"/>
  <c r="M30" i="4"/>
  <c r="M11" i="5" s="1"/>
  <c r="F12" i="5"/>
  <c r="G12" i="5"/>
  <c r="H12" i="5"/>
  <c r="I12" i="5"/>
  <c r="J12" i="5"/>
  <c r="K12" i="5"/>
  <c r="E12" i="5"/>
  <c r="G30" i="4"/>
  <c r="G11" i="5" s="1"/>
  <c r="G14" i="5" s="1"/>
  <c r="L12" i="5"/>
  <c r="M12" i="5"/>
  <c r="N12" i="5"/>
  <c r="O12" i="5"/>
  <c r="C14" i="7"/>
  <c r="D10" i="5"/>
  <c r="G9" i="5"/>
  <c r="H9" i="5"/>
  <c r="H30" i="4"/>
  <c r="H11" i="5" s="1"/>
  <c r="H14" i="5" s="1"/>
  <c r="I30" i="4"/>
  <c r="I11" i="5" s="1"/>
  <c r="I14" i="5" s="1"/>
  <c r="J15" i="4"/>
  <c r="J30" i="4" s="1"/>
  <c r="J11" i="5" s="1"/>
  <c r="O15" i="4"/>
  <c r="O30" i="4" s="1"/>
  <c r="O11" i="5" s="1"/>
  <c r="O14" i="5" s="1"/>
  <c r="L30" i="4"/>
  <c r="L11" i="5" s="1"/>
  <c r="L14" i="5" s="1"/>
  <c r="D9" i="5"/>
  <c r="D57" i="8"/>
  <c r="P45" i="8"/>
  <c r="N72" i="8"/>
  <c r="P42" i="8"/>
  <c r="P11" i="3"/>
  <c r="P10" i="4"/>
  <c r="P55" i="8"/>
  <c r="C86" i="8" s="1"/>
  <c r="F72" i="8"/>
  <c r="K30" i="4"/>
  <c r="K11" i="5" s="1"/>
  <c r="C79" i="8"/>
  <c r="D87" i="8"/>
  <c r="N15" i="4"/>
  <c r="N30" i="4" s="1"/>
  <c r="N11" i="5" s="1"/>
  <c r="O72" i="8"/>
  <c r="D30" i="4"/>
  <c r="E30" i="4"/>
  <c r="E11" i="5" s="1"/>
  <c r="H57" i="8"/>
  <c r="H69" i="8" s="1"/>
  <c r="H72" i="8" s="1"/>
  <c r="I57" i="8"/>
  <c r="I69" i="8" s="1"/>
  <c r="I72" i="8" s="1"/>
  <c r="M67" i="8"/>
  <c r="P25" i="4"/>
  <c r="C17" i="6" s="1"/>
  <c r="M57" i="8"/>
  <c r="M69" i="8" s="1"/>
  <c r="O67" i="8"/>
  <c r="G72" i="8"/>
  <c r="P66" i="8"/>
  <c r="C96" i="8" s="1"/>
  <c r="P28" i="4"/>
  <c r="L57" i="8"/>
  <c r="L69" i="8" s="1"/>
  <c r="L72" i="8" s="1"/>
  <c r="P9" i="4"/>
  <c r="C28" i="2"/>
  <c r="C37" i="2" s="1"/>
  <c r="C101" i="8"/>
  <c r="M70" i="8"/>
  <c r="D68" i="8"/>
  <c r="C22" i="8"/>
  <c r="E70" i="8"/>
  <c r="E72" i="8" s="1"/>
  <c r="M72" i="8" l="1"/>
  <c r="K14" i="5"/>
  <c r="J14" i="5"/>
  <c r="E14" i="5"/>
  <c r="D86" i="8"/>
  <c r="M14" i="5"/>
  <c r="C9" i="6"/>
  <c r="P8" i="5"/>
  <c r="C7" i="7" s="1"/>
  <c r="N14" i="5"/>
  <c r="C16" i="6"/>
  <c r="C19" i="6" s="1"/>
  <c r="C85" i="8"/>
  <c r="C82" i="8"/>
  <c r="D82" i="8" s="1"/>
  <c r="C81" i="8"/>
  <c r="D81" i="8" s="1"/>
  <c r="D69" i="8"/>
  <c r="D72" i="8" s="1"/>
  <c r="D73" i="8" s="1"/>
  <c r="P57" i="8"/>
  <c r="C6" i="6"/>
  <c r="P30" i="4"/>
  <c r="D11" i="5"/>
  <c r="D14" i="5" s="1"/>
  <c r="D15" i="5" s="1"/>
  <c r="C91" i="8"/>
  <c r="C84" i="8"/>
  <c r="D80" i="8"/>
  <c r="C18" i="1"/>
  <c r="B25" i="1"/>
  <c r="P15" i="4"/>
  <c r="C83" i="8" l="1"/>
  <c r="C90" i="8"/>
  <c r="E63" i="8"/>
  <c r="E73" i="8" s="1"/>
  <c r="F63" i="8" s="1"/>
  <c r="F73" i="8" s="1"/>
  <c r="G63" i="8" s="1"/>
  <c r="G73" i="8" s="1"/>
  <c r="H63" i="8" s="1"/>
  <c r="H73" i="8" s="1"/>
  <c r="I63" i="8" s="1"/>
  <c r="I73" i="8" s="1"/>
  <c r="J63" i="8" s="1"/>
  <c r="J73" i="8" s="1"/>
  <c r="K63" i="8" s="1"/>
  <c r="K73" i="8" s="1"/>
  <c r="L63" i="8" s="1"/>
  <c r="L73" i="8" s="1"/>
  <c r="M63" i="8" s="1"/>
  <c r="M73" i="8" s="1"/>
  <c r="N63" i="8" s="1"/>
  <c r="N73" i="8" s="1"/>
  <c r="O63" i="8" s="1"/>
  <c r="O73" i="8" s="1"/>
  <c r="C95" i="8" s="1"/>
  <c r="D18" i="5"/>
  <c r="E5" i="5"/>
  <c r="E15" i="5" s="1"/>
  <c r="D85" i="8"/>
  <c r="C88" i="8"/>
  <c r="D88" i="8" s="1"/>
  <c r="C24" i="6"/>
  <c r="B28" i="1"/>
  <c r="D18" i="6"/>
  <c r="D16" i="6"/>
  <c r="D17" i="6"/>
  <c r="D9" i="6"/>
  <c r="C11" i="6"/>
  <c r="D11" i="6" s="1"/>
  <c r="C10" i="6"/>
  <c r="D10" i="6" s="1"/>
  <c r="D83" i="8"/>
  <c r="D19" i="6"/>
  <c r="C13" i="6"/>
  <c r="C89" i="8" l="1"/>
  <c r="C12" i="6"/>
  <c r="C20" i="6" s="1"/>
  <c r="C23" i="6"/>
  <c r="C104" i="8"/>
  <c r="C105" i="8" s="1"/>
  <c r="D89" i="8"/>
  <c r="E18" i="5"/>
  <c r="F5" i="5"/>
  <c r="F15" i="5" s="1"/>
  <c r="C98" i="8"/>
  <c r="C109" i="8"/>
  <c r="D75" i="8"/>
  <c r="D12" i="6" l="1"/>
  <c r="B29" i="1"/>
  <c r="C21" i="1"/>
  <c r="C19" i="1"/>
  <c r="B26" i="1"/>
  <c r="C110" i="8"/>
  <c r="F18" i="5"/>
  <c r="G5" i="5"/>
  <c r="G15" i="5" s="1"/>
  <c r="C111" i="8"/>
  <c r="C106" i="8"/>
  <c r="C107" i="8" s="1"/>
  <c r="C19" i="7"/>
  <c r="C20" i="7" s="1"/>
  <c r="D20" i="6"/>
  <c r="C22" i="7" l="1"/>
  <c r="G18" i="5"/>
  <c r="H5" i="5"/>
  <c r="H15" i="5" s="1"/>
  <c r="H18" i="5" l="1"/>
  <c r="I5" i="5"/>
  <c r="I15" i="5" s="1"/>
  <c r="I18" i="5" l="1"/>
  <c r="J5" i="5"/>
  <c r="J15" i="5" s="1"/>
  <c r="J18" i="5" l="1"/>
  <c r="K5" i="5"/>
  <c r="K15" i="5" s="1"/>
  <c r="L5" i="5" l="1"/>
  <c r="L15" i="5" s="1"/>
  <c r="K18" i="5"/>
  <c r="L18" i="5" l="1"/>
  <c r="M5" i="5"/>
  <c r="M15" i="5" s="1"/>
  <c r="M18" i="5" l="1"/>
  <c r="N5" i="5"/>
  <c r="N15" i="5" s="1"/>
  <c r="O5" i="5" l="1"/>
  <c r="O15" i="5" s="1"/>
  <c r="N18" i="5"/>
  <c r="C6" i="7" l="1"/>
  <c r="O18" i="5"/>
  <c r="D17" i="5"/>
  <c r="B27" i="1" l="1"/>
  <c r="C20" i="1"/>
  <c r="C26" i="7"/>
  <c r="C9" i="7"/>
  <c r="C23" i="7" l="1"/>
  <c r="C27" i="7"/>
  <c r="C28" i="7"/>
  <c r="O25" i="9"/>
  <c r="N25" i="9"/>
  <c r="M25" i="9"/>
  <c r="L25" i="9"/>
  <c r="K25" i="9"/>
  <c r="J25" i="9"/>
  <c r="I25" i="9"/>
  <c r="H25" i="9"/>
  <c r="G25" i="9"/>
  <c r="F25" i="9"/>
  <c r="E25" i="9"/>
  <c r="D25" i="9"/>
  <c r="D27" i="9" s="1"/>
  <c r="C22" i="1"/>
</calcChain>
</file>

<file path=xl/sharedStrings.xml><?xml version="1.0" encoding="utf-8"?>
<sst xmlns="http://schemas.openxmlformats.org/spreadsheetml/2006/main" count="391" uniqueCount="253">
  <si>
    <t>Start Here</t>
  </si>
  <si>
    <t>WHAT THIS WORKBOOK DOES</t>
  </si>
  <si>
    <t>THE ORDER OF WORK</t>
  </si>
  <si>
    <t>3.  Monthly Expenses: what it costs to run each month.</t>
  </si>
  <si>
    <t>When do your customers usually pay?</t>
  </si>
  <si>
    <t>Same month</t>
  </si>
  <si>
    <t>Net 30 means customers pay the following month.</t>
  </si>
  <si>
    <t>YOUR KEY ANSWERS</t>
  </si>
  <si>
    <t>1.  What it costs to open</t>
  </si>
  <si>
    <t>2.  Sales you need each month to break even</t>
  </si>
  <si>
    <t>3.  When cash runs short</t>
  </si>
  <si>
    <t>4.  Does year one make money?</t>
  </si>
  <si>
    <t>WHAT YOUR NUMBERS ARE TELLING YOU</t>
  </si>
  <si>
    <t>CUSTOMIZE THE DROPDOWNS</t>
  </si>
  <si>
    <t>One dropdown drives this workbook: customer payment timing, above. Its choices are Same month, or Net 30 (customers pay the following month).</t>
  </si>
  <si>
    <t>A free tool provided courtesy of Leadership-Tools.com</t>
  </si>
  <si>
    <t>1. Startup Costs</t>
  </si>
  <si>
    <t>Item</t>
  </si>
  <si>
    <t>Amount</t>
  </si>
  <si>
    <t>Notes</t>
  </si>
  <si>
    <t>Things you buy that last (Assets)</t>
  </si>
  <si>
    <t>Equipment or machinery</t>
  </si>
  <si>
    <t>Vehicle or transport</t>
  </si>
  <si>
    <t>Furniture &amp; fixtures</t>
  </si>
  <si>
    <t>Technology &amp; computers</t>
  </si>
  <si>
    <t>Leasehold improvements / build-out</t>
  </si>
  <si>
    <t>(add your own)</t>
  </si>
  <si>
    <t>Subtotal, lasting assets</t>
  </si>
  <si>
    <t>Money spent to open (one-time expenses)</t>
  </si>
  <si>
    <t>Opening inventory or supplies</t>
  </si>
  <si>
    <t>Deposits (rent, utilities)</t>
  </si>
  <si>
    <t>First insurance premium</t>
  </si>
  <si>
    <t>Licenses, permits &amp; legal</t>
  </si>
  <si>
    <t>Launch marketing</t>
  </si>
  <si>
    <t>Subtotal, one-time expenses</t>
  </si>
  <si>
    <t>Cash cushion you keep on hand</t>
  </si>
  <si>
    <t>Working-capital reserve</t>
  </si>
  <si>
    <t>Money you keep to cover early months, not spent.</t>
  </si>
  <si>
    <t>Total cash needed to open</t>
  </si>
  <si>
    <t>How you’ll fund it</t>
  </si>
  <si>
    <t>Owner’s cash contribution</t>
  </si>
  <si>
    <t>Loan / financing amount</t>
  </si>
  <si>
    <t>Loan annual interest rate</t>
  </si>
  <si>
    <t>If no loan, leave the loan lines at 0.</t>
  </si>
  <si>
    <t>Loan term (years)</t>
  </si>
  <si>
    <t>Total funding</t>
  </si>
  <si>
    <t>Funding minus cash to open</t>
  </si>
  <si>
    <t>Positive means extra cushion. Negative means you’re short. Raise more before you commit.</t>
  </si>
  <si>
    <t>Estimated monthly loan payment</t>
  </si>
  <si>
    <t>Principal and interest, level payment across the term.</t>
  </si>
  <si>
    <t>2. Sales Forecast</t>
  </si>
  <si>
    <t>Revenue stream</t>
  </si>
  <si>
    <t>Month 1</t>
  </si>
  <si>
    <t>Month 2</t>
  </si>
  <si>
    <t>Month 3</t>
  </si>
  <si>
    <t>Month 4</t>
  </si>
  <si>
    <t>Month 5</t>
  </si>
  <si>
    <t>Month 6</t>
  </si>
  <si>
    <t>Month 7</t>
  </si>
  <si>
    <t>Month 8</t>
  </si>
  <si>
    <t>Month 9</t>
  </si>
  <si>
    <t>Month 10</t>
  </si>
  <si>
    <t>Month 11</t>
  </si>
  <si>
    <t>Month 12</t>
  </si>
  <si>
    <t>Year 1 Total</t>
  </si>
  <si>
    <t>Revenue stream 3</t>
  </si>
  <si>
    <t>Revenue stream 4</t>
  </si>
  <si>
    <t>Total monthly revenue</t>
  </si>
  <si>
    <t>3. Monthly Expenses</t>
  </si>
  <si>
    <t>Expense</t>
  </si>
  <si>
    <t>Rate</t>
  </si>
  <si>
    <t>Cost to deliver the service</t>
  </si>
  <si>
    <t>Payroll taxes</t>
  </si>
  <si>
    <t>Benefits or workers’ comp</t>
  </si>
  <si>
    <t>Cost to deliver the service (subtotal)</t>
  </si>
  <si>
    <t>Fixed operating costs</t>
  </si>
  <si>
    <t>Loan interest</t>
  </si>
  <si>
    <t>from tab 1</t>
  </si>
  <si>
    <t>Fixed operating costs (subtotal)</t>
  </si>
  <si>
    <t>Total business expenses</t>
  </si>
  <si>
    <t>What the owner takes out (not a business expense)</t>
  </si>
  <si>
    <t>Owner’s draw</t>
  </si>
  <si>
    <t>A draw is money you take home, not a cost of running the business, so it stays off the income statement. Set it to whatever you need to live on, or leave it at 0 for any month you plan to reinvest everything.</t>
  </si>
  <si>
    <t>Cash Flow Projection</t>
  </si>
  <si>
    <t>Cash Flow</t>
  </si>
  <si>
    <t>Cash at start of month</t>
  </si>
  <si>
    <t xml:space="preserve">   Owner’s cash in</t>
  </si>
  <si>
    <t xml:space="preserve">   Loan proceeds</t>
  </si>
  <si>
    <t xml:space="preserve">   Cash collected from customers</t>
  </si>
  <si>
    <t>Total cash in</t>
  </si>
  <si>
    <t xml:space="preserve">   Startup spending (assets + one-time)</t>
  </si>
  <si>
    <t xml:space="preserve">   Operating costs paid (excludes loan interest)</t>
  </si>
  <si>
    <t xml:space="preserve">   Loan payment (principal + interest)</t>
  </si>
  <si>
    <t xml:space="preserve">   Owner’s draw</t>
  </si>
  <si>
    <t>Total cash out</t>
  </si>
  <si>
    <t>Cash at end of month</t>
  </si>
  <si>
    <t>Lowest cash point in the year</t>
  </si>
  <si>
    <t>Income Statement</t>
  </si>
  <si>
    <t>Your first year</t>
  </si>
  <si>
    <t>Year 1</t>
  </si>
  <si>
    <t>% of Sales</t>
  </si>
  <si>
    <t>Sales</t>
  </si>
  <si>
    <t>Sales (Revenue)</t>
  </si>
  <si>
    <t>Staff labor (wages, taxes, benefits)</t>
  </si>
  <si>
    <t>Materials &amp; other variable costs</t>
  </si>
  <si>
    <t>Total cost of services</t>
  </si>
  <si>
    <t>Gross profit</t>
  </si>
  <si>
    <t>What’s left after delivering the work.</t>
  </si>
  <si>
    <t>Staff labor as % of sales</t>
  </si>
  <si>
    <t>Operating costs</t>
  </si>
  <si>
    <t>Ongoing operating costs</t>
  </si>
  <si>
    <t>Startup costs (one-time, expensed)</t>
  </si>
  <si>
    <t>The money-spent-to-open bucket from tab 1.</t>
  </si>
  <si>
    <t>Total operating costs</t>
  </si>
  <si>
    <t>Profit or loss for the year (Net Income)</t>
  </si>
  <si>
    <t>Quick checks</t>
  </si>
  <si>
    <t>Break-even: sales you need each month</t>
  </si>
  <si>
    <t>Below this, an average month loses money.</t>
  </si>
  <si>
    <t>Your average monthly sales</t>
  </si>
  <si>
    <t>Balance Sheet</t>
  </si>
  <si>
    <t>A snapshot at the end of your first year: what the business owns, what it owes, and your stake in it. Plain words first, the accounting term in parentheses.</t>
  </si>
  <si>
    <t>As of the end of your first year</t>
  </si>
  <si>
    <t>What the business owns (Assets)</t>
  </si>
  <si>
    <t>Cash in the bank</t>
  </si>
  <si>
    <t>Money customers still owe you (Accounts Receivable)</t>
  </si>
  <si>
    <t>Sales you’ve earned but not yet been paid for.</t>
  </si>
  <si>
    <t>Vehicle &amp; equipment (at cost)</t>
  </si>
  <si>
    <t>Shown at purchase cost; depreciation isn’t modeled here.</t>
  </si>
  <si>
    <t>Total assets</t>
  </si>
  <si>
    <t>What the business owes (Liabilities)</t>
  </si>
  <si>
    <t>Money you owe within a year (Current Liabilities)</t>
  </si>
  <si>
    <t>The part of the loan due in the next twelve months.</t>
  </si>
  <si>
    <t>Long-term debt (loan beyond one year)</t>
  </si>
  <si>
    <t>Total liabilities</t>
  </si>
  <si>
    <t>Owner’s stake (Equity)</t>
  </si>
  <si>
    <t>Money you put in (Owner’s Contribution)</t>
  </si>
  <si>
    <t>Money you took out (Owner’s Draws)</t>
  </si>
  <si>
    <t>Profit or loss kept in the business (Retained Earnings)</t>
  </si>
  <si>
    <t>Total owner’s equity</t>
  </si>
  <si>
    <t>Liabilities + Equity</t>
  </si>
  <si>
    <t>Balance check</t>
  </si>
  <si>
    <t>Assets should equal Liabilities + Equity.</t>
  </si>
  <si>
    <t>Health checks</t>
  </si>
  <si>
    <t>Months of expenses your cash covers</t>
  </si>
  <si>
    <t>How long cash alone keeps the lights on.</t>
  </si>
  <si>
    <t>Debt as a share of assets</t>
  </si>
  <si>
    <t>Lower is safer; lenders watch this.</t>
  </si>
  <si>
    <t>Your equity as a share of assets</t>
  </si>
  <si>
    <t>How much of the business you truly own.</t>
  </si>
  <si>
    <t>Completed Example</t>
  </si>
  <si>
    <t>Evergreen Office &amp; Medical Cleaning, carried end to end. This shows the generic tool filled in for one real business: the rows are renamed to fit cleaning, and the numbers flow through to the same six sections you have in your own tabs.</t>
  </si>
  <si>
    <t>THE BUSINESS</t>
  </si>
  <si>
    <t>Owner plus two part-time cleaners on evening routes, so payroll is in the numbers from month one. The owner saved twelve months of living expenses and takes no draw in year one. That was her choice, shown here, not a rule.</t>
  </si>
  <si>
    <t>1.  Startup Costs</t>
  </si>
  <si>
    <t>Used van</t>
  </si>
  <si>
    <t>Equipment (machines, vacuums, extractor, carts)</t>
  </si>
  <si>
    <t>Van outfitting / shelving</t>
  </si>
  <si>
    <t>Money spent to open (one-time)</t>
  </si>
  <si>
    <t>Initial cleaning supplies</t>
  </si>
  <si>
    <t>First insurance &amp; bond premium</t>
  </si>
  <si>
    <t>Other one-time costs</t>
  </si>
  <si>
    <t>How it was funded</t>
  </si>
  <si>
    <t>2.  Sales Forecast</t>
  </si>
  <si>
    <t>Rate/Fee</t>
  </si>
  <si>
    <t>M1</t>
  </si>
  <si>
    <t>M2</t>
  </si>
  <si>
    <t>M3</t>
  </si>
  <si>
    <t>M4</t>
  </si>
  <si>
    <t>M5</t>
  </si>
  <si>
    <t>M6</t>
  </si>
  <si>
    <t>M7</t>
  </si>
  <si>
    <t>M8</t>
  </si>
  <si>
    <t>M9</t>
  </si>
  <si>
    <t>M10</t>
  </si>
  <si>
    <t>M11</t>
  </si>
  <si>
    <t>M12</t>
  </si>
  <si>
    <t>Office cleaning (accounts × $650)</t>
  </si>
  <si>
    <t>Medical-suite cleaning (accounts × $900)</t>
  </si>
  <si>
    <t>Tip: each stream’s monthly figure is price × units. Office is accounts × $650; medical is accounts × $900. In your own tab you can type revenue directly or work it out this way.</t>
  </si>
  <si>
    <t>3.  Monthly Expenses</t>
  </si>
  <si>
    <t>Cleaner wages (employees)</t>
  </si>
  <si>
    <t>Employer payroll taxes</t>
  </si>
  <si>
    <t>Workers’ compensation</t>
  </si>
  <si>
    <t>Cleaning supplies (materials)</t>
  </si>
  <si>
    <t>Vehicle fuel</t>
  </si>
  <si>
    <t>Vehicle maintenance</t>
  </si>
  <si>
    <t>Vehicle insurance</t>
  </si>
  <si>
    <t>Business insurance &amp; bonding</t>
  </si>
  <si>
    <t>Storage / rent</t>
  </si>
  <si>
    <t>Phone, software &amp; admin</t>
  </si>
  <si>
    <t>Marketing (ongoing)</t>
  </si>
  <si>
    <t>Other</t>
  </si>
  <si>
    <t>4.  Cash Flow Projection  (customers pay Net 30)</t>
  </si>
  <si>
    <t xml:space="preserve">   Cash collected (Net 30)</t>
  </si>
  <si>
    <t xml:space="preserve">   Operating costs paid (excl. loan interest)</t>
  </si>
  <si>
    <t>5.  Income Statement  (Year 1)</t>
  </si>
  <si>
    <t>Staff labor (wages, taxes, comp)</t>
  </si>
  <si>
    <t>6.  Balance Sheet  (end of year 1)</t>
  </si>
  <si>
    <t>WHAT THE NUMBERS TEACH</t>
  </si>
  <si>
    <t>Sales reach about $103,000 in year one and the business clears roughly $13,700. Yet cash goes negative in Month 4, because customers pay Net 30 while wages and startup bills come due first. The cushion covers the gap. The number that matters: staff labor plus payroll taxes plus workers’ comp runs near 62% of every dollar of sales. That labor load is what a first-timer underestimates.</t>
  </si>
  <si>
    <t>In your own file, this same read-back appears live on the Start Here tab, under “What your numbers are telling you.”</t>
  </si>
  <si>
    <t>Payment timing options (dropdown source)</t>
  </si>
  <si>
    <t>Net 30</t>
  </si>
  <si>
    <t>Edit the two cells above (A2 and A3) to change the wording in the Start Here dropdown.</t>
  </si>
  <si>
    <t>Reference: what can appear in “Your Key Answers” (Start Here)</t>
  </si>
  <si>
    <t>For reference only. These messages are built into the Start Here formulas. Editing this tab does not change them.</t>
  </si>
  <si>
    <t>•  Fill in tabs 1 to 3 first  (until Startup Costs has a value)
•  A dollar amount, for example $39,000</t>
  </si>
  <si>
    <t>•  Fill in tabs 1 to 3 first  (until Sales Forecast has a value)
•  A dollar amount, for example $3,755</t>
  </si>
  <si>
    <t>•  Fill in tabs 1 to 3 first
•  Cash stays positive all year
•  Cash runs short in Month N   (N is 1 through 12)</t>
  </si>
  <si>
    <t>•  Fill in tabs 1 to 3 first
•  Yes: profit of $X
•  No: loss of $X</t>
  </si>
  <si>
    <t>Reference: what can appear in “What Your Numbers Are Telling You”</t>
  </si>
  <si>
    <t>Five lines. Each stays blank until the tabs it needs are filled, then shows one of the readings below.</t>
  </si>
  <si>
    <t>Line 1: Funding</t>
  </si>
  <si>
    <t>•  Fill in the tabs to see what your numbers mean.  (until Startup Costs has a value)
•  Funding covers opening with $X to spare.
•  You’re short $X on opening. Raise more before you commit.</t>
  </si>
  <si>
    <t>Line 2: Break-even</t>
  </si>
  <si>
    <t>•  (blank until Sales Forecast has a value)
•  Enter your costs to see break-even.
•  An average month clears break-even with $X of room.
•  An average month falls $X short of break-even.</t>
  </si>
  <si>
    <t>Line 3: Cash</t>
  </si>
  <si>
    <t>•  (blank until Sales Forecast has a value)
•  Cash stays positive all year; its lowest point is $X.
•  Cash goes negative in Month N, down to $X. Lean on your cushion or collect faster.</t>
  </si>
  <si>
    <t>Line 4: Labor load</t>
  </si>
  <si>
    <t>•  (blank until Sales Forecast has a value)
•  Labor and its taxes take X% of sales, the number most first-timers underestimate.</t>
  </si>
  <si>
    <t>Line 5: Verdict</t>
  </si>
  <si>
    <t>•  (blank until Startup Costs has a value)
•  Year one clears $X. On paper, the idea makes money.
•  Year one loses $X. The idea doesn’t cover its costs yet.</t>
  </si>
  <si>
    <t>Pressure-test your business idea against real numbers before you commit money, time, or a job. This is a planning tool that will assist you in determining whether or not you have a viable business idea. If you have an existing business it can also help you to understand the current state of your business.</t>
  </si>
  <si>
    <t>You fill in three tabs. The workbook turns them into the three statements a real business runs on (Cash Flow Projection, Income Statement &amp; Balance Sheet), then it provides answers to five key questions that tell you whether the idea holds up.</t>
  </si>
  <si>
    <r>
      <t xml:space="preserve">1.  </t>
    </r>
    <r>
      <rPr>
        <b/>
        <sz val="11"/>
        <color rgb="FF3E3E42"/>
        <rFont val="Calibri"/>
        <family val="2"/>
      </rPr>
      <t>Startup Costs:</t>
    </r>
    <r>
      <rPr>
        <sz val="11"/>
        <color rgb="FF3E3E42"/>
        <rFont val="Calibri"/>
        <charset val="1"/>
      </rPr>
      <t xml:space="preserve"> the one-time money it takes to open.</t>
    </r>
  </si>
  <si>
    <r>
      <t xml:space="preserve">2.  </t>
    </r>
    <r>
      <rPr>
        <b/>
        <sz val="11"/>
        <color rgb="FF3E3E42"/>
        <rFont val="Calibri"/>
        <family val="2"/>
      </rPr>
      <t>Sales Forecast:</t>
    </r>
    <r>
      <rPr>
        <sz val="11"/>
        <color rgb="FF3E3E42"/>
        <rFont val="Calibri"/>
        <charset val="1"/>
      </rPr>
      <t xml:space="preserve"> how much you’ll sell each month.</t>
    </r>
  </si>
  <si>
    <t>Tabs 4-6 (Cash Flow, Income Statement, Balance Sheet) fill in automatically after 1-3 are completed.</t>
  </si>
  <si>
    <t>Throughout this workbook, cream-colored cells are yours to fill in. Every other cell calculates on its own.</t>
  </si>
  <si>
    <t>Nothing to enter here. These fill in on their own once you complete tabs 1 to 3. Nothing to type here.</t>
  </si>
  <si>
    <t>Nothing to enter here. A plain-language read of those answers. It updates as you fill in the tabs.</t>
  </si>
  <si>
    <t>To change the wording of drop-down options, choose Unhide on bottom tab, open the Settings tab, and edit the existing options there. (not recommended)</t>
  </si>
  <si>
    <t>This page shows you how much money you need to invest before you begin earning your first dollar of revenue. Fill the cream-colored cells. The three groups below sort your costs the way an accountant would: things that last, money spent to open, and cash you simply keep on hand.</t>
  </si>
  <si>
    <t>Estimate the revenue each revenue stream brings in per month. Month 1 is your first month the business is open.</t>
  </si>
  <si>
    <t>Rename each stream to fit your business: products, services, accounts, jobs. A stream’s monthly figure is simply its price times the number of units you expect to sell that month. To add an additional revenue stream row, right-click the last row number (just above Total monthly revenue), choose Insert, and it adds a new row to be included into the total.</t>
  </si>
  <si>
    <t>Your running costs, month by month. Watch the first block: wages plus payroll taxes plus benefits usually take a bigger bite than a first-time business owner expects.</t>
  </si>
  <si>
    <t>Rename any row to fit your business, and enter a rate in the Rate column only where one is shown. To add a line, right-click the last row number in a block (just above its subtotal), choose Insert, and the new row lands inside the total.</t>
  </si>
  <si>
    <t>This worksheet auto-fills from tabs 1 to 3. Follow the bottom line: the month cash dips lowest, and any month it goes below zero, is when you’ll feel the squeeze.</t>
  </si>
  <si>
    <t>Review your whole first year on one page, auto-filled from tabs 1 to 3. Revenue at the top, followed by costs, then profit or loss at the bottom. The % of Sales column shows where every dollar goes.</t>
  </si>
  <si>
    <t>The number most first-time owners underestimate.</t>
  </si>
  <si>
    <t>Compare to break-even. If above, you are profitable.</t>
  </si>
  <si>
    <t>5.  When you reach break even</t>
  </si>
  <si>
    <t>Every row title on this tab can be renamed to fit your business. To add a line, right-click the last item in a section (just above its subtotal), choose Insert, and the new row lands inside the total, ready to fill.</t>
  </si>
  <si>
    <t>Revenue stream 1</t>
  </si>
  <si>
    <t>Revenue stream 2</t>
  </si>
  <si>
    <t>Staff wages</t>
  </si>
  <si>
    <t>Materials or cost of goods</t>
  </si>
  <si>
    <t>Rent or facility</t>
  </si>
  <si>
    <t>Utilities</t>
  </si>
  <si>
    <t>Insurance</t>
  </si>
  <si>
    <t>Phone, internet &amp; software</t>
  </si>
  <si>
    <t>Marketing</t>
  </si>
  <si>
    <t>Vehicle or travel</t>
  </si>
  <si>
    <t>Professional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</si>
</sst>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
    <numFmt numFmtId="166" formatCode="0.0"/>
  </numFmts>
  <fonts count="26" x14ac:knownFonts="1">
    <font>
      <sz val="11"/>
      <color theme="1"/>
      <name val="Calibri"/>
      <family val="2"/>
      <charset val="1"/>
    </font>
    <font>
      <b/>
      <sz val="20"/>
      <color rgb="FFFFFFFF"/>
      <name val="Calibri"/>
      <charset val="1"/>
    </font>
    <font>
      <i/>
      <sz val="10"/>
      <color rgb="FF7F7F7F"/>
      <name val="Calibri"/>
      <charset val="1"/>
    </font>
    <font>
      <b/>
      <sz val="11"/>
      <color rgb="FFB9913A"/>
      <name val="Calibri"/>
      <charset val="1"/>
    </font>
    <font>
      <sz val="11"/>
      <color rgb="FF3E3E42"/>
      <name val="Calibri"/>
      <charset val="1"/>
    </font>
    <font>
      <b/>
      <sz val="10"/>
      <color rgb="FF1A2744"/>
      <name val="Calibri"/>
      <charset val="1"/>
    </font>
    <font>
      <sz val="10"/>
      <color rgb="FF1A2744"/>
      <name val="Calibri"/>
      <charset val="1"/>
    </font>
    <font>
      <i/>
      <sz val="9"/>
      <color rgb="FF7F7F7F"/>
      <name val="Calibri"/>
      <charset val="1"/>
    </font>
    <font>
      <b/>
      <sz val="11"/>
      <color rgb="FFFFFFFF"/>
      <name val="Calibri"/>
      <charset val="1"/>
    </font>
    <font>
      <b/>
      <sz val="12"/>
      <color rgb="FF1A2744"/>
      <name val="Calibri"/>
      <charset val="1"/>
    </font>
    <font>
      <sz val="10"/>
      <color rgb="FF3E3E42"/>
      <name val="Calibri"/>
      <charset val="1"/>
    </font>
    <font>
      <b/>
      <i/>
      <sz val="11"/>
      <color rgb="FFB9913A"/>
      <name val="Calibri"/>
      <charset val="1"/>
    </font>
    <font>
      <b/>
      <sz val="18"/>
      <color rgb="FFFFFFFF"/>
      <name val="Calibri"/>
      <charset val="1"/>
    </font>
    <font>
      <i/>
      <sz val="9"/>
      <color rgb="FF1A2744"/>
      <name val="Calibri"/>
      <charset val="1"/>
    </font>
    <font>
      <b/>
      <sz val="9"/>
      <color rgb="FFFFFFFF"/>
      <name val="Calibri"/>
      <charset val="1"/>
    </font>
    <font>
      <b/>
      <sz val="10"/>
      <color rgb="FFB9913A"/>
      <name val="Calibri"/>
      <charset val="1"/>
    </font>
    <font>
      <i/>
      <sz val="10"/>
      <color rgb="FF1A2744"/>
      <name val="Calibri"/>
      <charset val="1"/>
    </font>
    <font>
      <i/>
      <sz val="11"/>
      <color rgb="FF7F7F7F"/>
      <name val="Calibri"/>
      <family val="2"/>
    </font>
    <font>
      <sz val="11"/>
      <color rgb="FF3E3E42"/>
      <name val="Calibri"/>
      <family val="2"/>
    </font>
    <font>
      <b/>
      <sz val="11"/>
      <color rgb="FF3E3E42"/>
      <name val="Calibri"/>
      <family val="2"/>
    </font>
    <font>
      <b/>
      <sz val="10"/>
      <color rgb="FF1A2744"/>
      <name val="Calibri"/>
      <family val="2"/>
    </font>
    <font>
      <i/>
      <sz val="9"/>
      <color rgb="FF7F7F7F"/>
      <name val="Calibri"/>
      <family val="2"/>
    </font>
    <font>
      <i/>
      <sz val="10"/>
      <color rgb="FF7F7F7F"/>
      <name val="Calibri"/>
      <family val="2"/>
    </font>
    <font>
      <i/>
      <sz val="9"/>
      <color rgb="FF1A2744"/>
      <name val="Calibri"/>
      <family val="2"/>
    </font>
    <font>
      <sz val="10"/>
      <color rgb="FF3E3E42"/>
      <name val="Calibri"/>
      <family val="2"/>
    </font>
    <font>
      <b/>
      <sz val="18"/>
      <color rgb="FFFFFFFF"/>
      <name val="Calibri"/>
      <family val="2"/>
    </font>
  </fonts>
  <fills count="7">
    <fill>
      <patternFill patternType="none"/>
    </fill>
    <fill>
      <patternFill patternType="gray125"/>
    </fill>
    <fill>
      <patternFill patternType="solid">
        <fgColor rgb="FF1A2744"/>
        <bgColor rgb="FF3E3E42"/>
      </patternFill>
    </fill>
    <fill>
      <patternFill patternType="solid">
        <fgColor rgb="FFFFF8E7"/>
        <bgColor rgb="FFFFFFFF"/>
      </patternFill>
    </fill>
    <fill>
      <patternFill patternType="solid">
        <fgColor rgb="FFE8ECF2"/>
        <bgColor rgb="FFFFF8E7"/>
      </patternFill>
    </fill>
    <fill>
      <patternFill patternType="solid">
        <fgColor rgb="FFFFFFFF"/>
        <bgColor rgb="FFFFF8E7"/>
      </patternFill>
    </fill>
    <fill>
      <patternFill patternType="solid">
        <fgColor rgb="FFB9913A"/>
        <bgColor rgb="FF808000"/>
      </patternFill>
    </fill>
  </fills>
  <borders count="5">
    <border>
      <left/>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
      <left/>
      <right/>
      <top/>
      <bottom style="thin">
        <color rgb="FF1A2744"/>
      </bottom>
      <diagonal/>
    </border>
    <border>
      <left/>
      <right/>
      <top/>
      <bottom style="thin">
        <color rgb="FFE8ECF2"/>
      </bottom>
      <diagonal/>
    </border>
  </borders>
  <cellStyleXfs count="1">
    <xf numFmtId="0" fontId="0" fillId="0" borderId="0"/>
  </cellStyleXfs>
  <cellXfs count="59">
    <xf numFmtId="0" fontId="0" fillId="0" borderId="0" xfId="0"/>
    <xf numFmtId="164" fontId="5" fillId="5" borderId="1" xfId="0" applyNumberFormat="1" applyFont="1" applyFill="1" applyBorder="1" applyAlignment="1">
      <alignment horizontal="right" vertical="center"/>
    </xf>
    <xf numFmtId="0" fontId="7" fillId="0" borderId="0" xfId="0" applyFont="1" applyAlignment="1">
      <alignment horizontal="left" vertical="center" wrapText="1" indent="1"/>
    </xf>
    <xf numFmtId="0" fontId="5" fillId="0" borderId="0" xfId="0" applyFont="1" applyAlignment="1">
      <alignment horizontal="left" vertical="center" indent="1"/>
    </xf>
    <xf numFmtId="0" fontId="6" fillId="3" borderId="2" xfId="0" applyFont="1" applyFill="1" applyBorder="1" applyAlignment="1" applyProtection="1">
      <alignment horizontal="center" vertical="center"/>
      <protection locked="0"/>
    </xf>
    <xf numFmtId="0" fontId="14" fillId="2" borderId="3" xfId="0" applyFont="1" applyFill="1" applyBorder="1" applyAlignment="1">
      <alignment horizontal="left" vertical="center" indent="1"/>
    </xf>
    <xf numFmtId="0" fontId="14" fillId="2" borderId="3" xfId="0" applyFont="1" applyFill="1" applyBorder="1" applyAlignment="1">
      <alignment horizontal="right" vertical="center"/>
    </xf>
    <xf numFmtId="0" fontId="10" fillId="0" borderId="0" xfId="0" applyFont="1" applyAlignment="1" applyProtection="1">
      <alignment horizontal="left" vertical="center" indent="1"/>
      <protection locked="0"/>
    </xf>
    <xf numFmtId="164" fontId="6" fillId="3" borderId="2" xfId="0" applyNumberFormat="1" applyFont="1" applyFill="1" applyBorder="1" applyAlignment="1" applyProtection="1">
      <alignment horizontal="right" vertical="center"/>
      <protection locked="0"/>
    </xf>
    <xf numFmtId="164" fontId="8" fillId="6" borderId="1" xfId="0" applyNumberFormat="1" applyFont="1" applyFill="1" applyBorder="1" applyAlignment="1">
      <alignment horizontal="right" vertical="center"/>
    </xf>
    <xf numFmtId="0" fontId="10" fillId="0" borderId="0" xfId="0" applyFont="1" applyAlignment="1">
      <alignment horizontal="left" vertical="center" indent="1"/>
    </xf>
    <xf numFmtId="165" fontId="6" fillId="3" borderId="2" xfId="0" applyNumberFormat="1" applyFont="1" applyFill="1" applyBorder="1" applyAlignment="1" applyProtection="1">
      <alignment horizontal="right" vertical="center"/>
      <protection locked="0"/>
    </xf>
    <xf numFmtId="1" fontId="6" fillId="3" borderId="2" xfId="0" applyNumberFormat="1" applyFont="1" applyFill="1" applyBorder="1" applyAlignment="1" applyProtection="1">
      <alignment horizontal="right" vertical="center"/>
      <protection locked="0"/>
    </xf>
    <xf numFmtId="0" fontId="0" fillId="2" borderId="3" xfId="0" applyFill="1" applyBorder="1"/>
    <xf numFmtId="0" fontId="14" fillId="2" borderId="3" xfId="0" applyFont="1" applyFill="1" applyBorder="1" applyAlignment="1">
      <alignment horizontal="center" vertical="center"/>
    </xf>
    <xf numFmtId="0" fontId="14" fillId="2" borderId="3" xfId="0" applyFont="1" applyFill="1" applyBorder="1" applyAlignment="1">
      <alignment horizontal="center" vertical="center" wrapText="1"/>
    </xf>
    <xf numFmtId="164" fontId="10" fillId="5" borderId="1" xfId="0" applyNumberFormat="1" applyFont="1" applyFill="1" applyBorder="1" applyAlignment="1">
      <alignment horizontal="right" vertical="center"/>
    </xf>
    <xf numFmtId="165" fontId="10" fillId="5" borderId="1" xfId="0" applyNumberFormat="1" applyFont="1" applyFill="1" applyBorder="1" applyAlignment="1">
      <alignment horizontal="right" vertical="center"/>
    </xf>
    <xf numFmtId="0" fontId="15" fillId="0" borderId="0" xfId="0" applyFont="1" applyAlignment="1">
      <alignment horizontal="left" vertical="center" indent="1"/>
    </xf>
    <xf numFmtId="165" fontId="3" fillId="5" borderId="1" xfId="0" applyNumberFormat="1" applyFont="1" applyFill="1" applyBorder="1" applyAlignment="1">
      <alignment horizontal="right" vertical="center"/>
    </xf>
    <xf numFmtId="165" fontId="8" fillId="6" borderId="1" xfId="0" applyNumberFormat="1" applyFont="1" applyFill="1" applyBorder="1" applyAlignment="1">
      <alignment horizontal="right" vertical="center"/>
    </xf>
    <xf numFmtId="0" fontId="5" fillId="5" borderId="1" xfId="0" applyFont="1" applyFill="1" applyBorder="1" applyAlignment="1">
      <alignment horizontal="right" vertical="center"/>
    </xf>
    <xf numFmtId="166" fontId="10" fillId="5" borderId="1" xfId="0" applyNumberFormat="1" applyFont="1" applyFill="1" applyBorder="1" applyAlignment="1">
      <alignment horizontal="right" vertical="center"/>
    </xf>
    <xf numFmtId="9" fontId="10" fillId="5" borderId="1" xfId="0" applyNumberFormat="1" applyFont="1" applyFill="1" applyBorder="1" applyAlignment="1">
      <alignment horizontal="right" vertical="center"/>
    </xf>
    <xf numFmtId="0" fontId="5" fillId="4" borderId="4" xfId="0" applyFont="1" applyFill="1" applyBorder="1" applyAlignment="1">
      <alignment horizontal="left" vertical="center" indent="1"/>
    </xf>
    <xf numFmtId="0" fontId="0" fillId="4" borderId="0" xfId="0" applyFill="1"/>
    <xf numFmtId="164" fontId="6" fillId="3" borderId="2" xfId="0" applyNumberFormat="1" applyFont="1" applyFill="1" applyBorder="1" applyAlignment="1">
      <alignment horizontal="right" vertical="center"/>
    </xf>
    <xf numFmtId="165" fontId="6" fillId="3" borderId="2" xfId="0" applyNumberFormat="1" applyFont="1" applyFill="1" applyBorder="1" applyAlignment="1">
      <alignment horizontal="right" vertical="center"/>
    </xf>
    <xf numFmtId="1" fontId="6" fillId="3" borderId="2" xfId="0" applyNumberFormat="1" applyFont="1" applyFill="1" applyBorder="1" applyAlignment="1">
      <alignment horizontal="right" vertical="center"/>
    </xf>
    <xf numFmtId="0" fontId="6" fillId="3" borderId="2" xfId="0" applyFont="1" applyFill="1" applyBorder="1" applyAlignment="1">
      <alignment horizontal="left" vertical="center" indent="1"/>
    </xf>
    <xf numFmtId="0" fontId="5" fillId="0" borderId="0" xfId="0" applyFont="1" applyAlignment="1">
      <alignment horizontal="left" vertical="top" indent="1"/>
    </xf>
    <xf numFmtId="0" fontId="10" fillId="0" borderId="0" xfId="0" applyFont="1" applyAlignment="1">
      <alignment horizontal="left" vertical="top" wrapText="1" indent="1"/>
    </xf>
    <xf numFmtId="0" fontId="24" fillId="0" borderId="0" xfId="0" applyFont="1" applyAlignment="1" applyProtection="1">
      <alignment horizontal="left" vertical="center" indent="1"/>
      <protection locked="0"/>
    </xf>
    <xf numFmtId="0" fontId="21" fillId="0" borderId="0" xfId="0" applyFont="1" applyAlignment="1">
      <alignment horizontal="left" vertical="center" wrapText="1" indent="1"/>
    </xf>
    <xf numFmtId="0" fontId="1" fillId="2" borderId="0" xfId="0" applyFont="1" applyFill="1" applyAlignment="1">
      <alignment horizontal="left" vertical="center" indent="1"/>
    </xf>
    <xf numFmtId="0" fontId="17" fillId="0" borderId="0" xfId="0" applyFont="1" applyAlignment="1">
      <alignment horizontal="left" vertical="center" wrapText="1" indent="1"/>
    </xf>
    <xf numFmtId="0" fontId="3" fillId="0" borderId="0" xfId="0" applyFont="1" applyAlignment="1">
      <alignment horizontal="left" vertical="center" indent="1"/>
    </xf>
    <xf numFmtId="0" fontId="18" fillId="0" borderId="0" xfId="0" applyFont="1" applyAlignment="1">
      <alignment horizontal="left" vertical="center" wrapText="1" indent="1"/>
    </xf>
    <xf numFmtId="0" fontId="4" fillId="0" borderId="0" xfId="0" applyFont="1" applyAlignment="1">
      <alignment horizontal="left" vertical="center" wrapText="1" indent="1"/>
    </xf>
    <xf numFmtId="0" fontId="20" fillId="0" borderId="0" xfId="0" applyFont="1" applyAlignment="1">
      <alignment horizontal="left" vertical="center" wrapText="1" indent="1"/>
    </xf>
    <xf numFmtId="0" fontId="5" fillId="0" borderId="0" xfId="0" applyFont="1" applyAlignment="1">
      <alignment horizontal="left" vertical="center" wrapText="1"/>
    </xf>
    <xf numFmtId="0" fontId="8" fillId="2" borderId="3" xfId="0" applyFont="1" applyFill="1" applyBorder="1" applyAlignment="1">
      <alignment horizontal="left" vertical="center" indent="1"/>
    </xf>
    <xf numFmtId="0" fontId="21" fillId="0" borderId="0" xfId="0" applyFont="1" applyAlignment="1">
      <alignment horizontal="left" vertical="center" indent="1"/>
    </xf>
    <xf numFmtId="0" fontId="7" fillId="0" borderId="0" xfId="0" applyFont="1" applyAlignment="1">
      <alignment horizontal="left" vertical="center" indent="1"/>
    </xf>
    <xf numFmtId="0" fontId="9" fillId="4" borderId="1" xfId="0" applyFont="1" applyFill="1" applyBorder="1" applyAlignment="1">
      <alignment horizontal="left" vertical="center" indent="1"/>
    </xf>
    <xf numFmtId="0" fontId="10" fillId="4" borderId="1" xfId="0" applyFont="1" applyFill="1" applyBorder="1" applyAlignment="1">
      <alignment horizontal="left" vertical="top" wrapText="1" indent="1"/>
    </xf>
    <xf numFmtId="0" fontId="12" fillId="2" borderId="0" xfId="0" applyFont="1" applyFill="1" applyAlignment="1">
      <alignment horizontal="left" vertical="center" indent="1"/>
    </xf>
    <xf numFmtId="0" fontId="22" fillId="0" borderId="0" xfId="0" applyFont="1" applyAlignment="1">
      <alignment horizontal="left" vertical="center" wrapText="1" indent="1"/>
    </xf>
    <xf numFmtId="0" fontId="2" fillId="0" borderId="0" xfId="0" applyFont="1" applyAlignment="1">
      <alignment horizontal="left" vertical="center" wrapText="1" indent="1"/>
    </xf>
    <xf numFmtId="0" fontId="23" fillId="4" borderId="0" xfId="0" applyFont="1" applyFill="1" applyAlignment="1">
      <alignment horizontal="left" vertical="center" wrapText="1" indent="1"/>
    </xf>
    <xf numFmtId="0" fontId="13" fillId="4" borderId="0" xfId="0" applyFont="1" applyFill="1" applyAlignment="1">
      <alignment horizontal="left" vertical="center" wrapText="1" indent="1"/>
    </xf>
    <xf numFmtId="0" fontId="7" fillId="0" borderId="0" xfId="0" applyFont="1" applyAlignment="1">
      <alignment horizontal="left" vertical="center" wrapText="1" indent="1"/>
    </xf>
    <xf numFmtId="0" fontId="25" fillId="2" borderId="0" xfId="0" applyFont="1" applyFill="1" applyAlignment="1">
      <alignment horizontal="left" vertical="center" indent="1"/>
    </xf>
    <xf numFmtId="164" fontId="5" fillId="5" borderId="1" xfId="0" applyNumberFormat="1" applyFont="1" applyFill="1" applyBorder="1" applyAlignment="1">
      <alignment horizontal="right" vertical="center"/>
    </xf>
    <xf numFmtId="0" fontId="3" fillId="0" borderId="0" xfId="0" applyFont="1"/>
    <xf numFmtId="0" fontId="10" fillId="0" borderId="0" xfId="0" applyFont="1" applyAlignment="1">
      <alignment horizontal="left" vertical="center" wrapText="1" indent="1"/>
    </xf>
    <xf numFmtId="0" fontId="10" fillId="0" borderId="1" xfId="0" applyFont="1" applyBorder="1" applyAlignment="1">
      <alignment horizontal="left" vertical="top" wrapText="1" indent="1"/>
    </xf>
    <xf numFmtId="0" fontId="16" fillId="0" borderId="0" xfId="0" applyFont="1" applyAlignment="1">
      <alignment horizontal="left" vertical="center" wrapText="1" indent="1"/>
    </xf>
    <xf numFmtId="0" fontId="11" fillId="0" borderId="0" xfId="0" applyFont="1" applyAlignment="1">
      <alignment horizontal="center" vertical="center"/>
    </xf>
  </cellXfs>
  <cellStyles count="1">
    <cellStyle name="Normal" xfId="0" builtinId="0"/>
  </cellStyles>
  <dxfs count="5">
    <dxf>
      <font>
        <b/>
        <color rgb="FFC0392B"/>
      </font>
    </dxf>
    <dxf>
      <font>
        <b/>
        <color rgb="FFC0392B"/>
      </font>
    </dxf>
    <dxf>
      <font>
        <b/>
        <color rgb="FFC0392B"/>
      </font>
    </dxf>
    <dxf>
      <font>
        <b/>
        <color rgb="FFC0392B"/>
      </font>
    </dxf>
    <dxf>
      <font>
        <b/>
        <color rgb="FFC0392B"/>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8E7"/>
      <rgbColor rgb="FFE8EC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B9913A"/>
      <rgbColor rgb="FF1A2744"/>
      <rgbColor rgb="FF339966"/>
      <rgbColor rgb="FF003300"/>
      <rgbColor rgb="FF333300"/>
      <rgbColor rgb="FFC0392B"/>
      <rgbColor rgb="FF993366"/>
      <rgbColor rgb="FF333399"/>
      <rgbColor rgb="FF3E3E4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dership-tools.com/" TargetMode="External"/></Relationships>
</file>

<file path=xl/drawings/drawing1.xml><?xml version="1.0" encoding="utf-8"?>
<xdr:wsDr xmlns:xdr="http://schemas.openxmlformats.org/drawingml/2006/spreadsheetDrawing" xmlns:a="http://schemas.openxmlformats.org/drawingml/2006/main">
  <xdr:oneCellAnchor>
    <xdr:from>
      <xdr:col>3</xdr:col>
      <xdr:colOff>152425</xdr:colOff>
      <xdr:row>0</xdr:row>
      <xdr:rowOff>144555</xdr:rowOff>
    </xdr:from>
    <xdr:ext cx="2162175" cy="305248"/>
    <xdr:pic>
      <xdr:nvPicPr>
        <xdr:cNvPr id="101"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000-000065000000}"/>
            </a:ext>
          </a:extLst>
        </xdr:cNvPr>
        <xdr:cNvPicPr/>
      </xdr:nvPicPr>
      <xdr:blipFill>
        <a:blip xmlns:r="http://schemas.openxmlformats.org/officeDocument/2006/relationships" r:embed="rId2" cstate="print"/>
        <a:stretch>
          <a:fillRect/>
        </a:stretch>
      </xdr:blipFill>
      <xdr:spPr>
        <a:xfrm>
          <a:off x="5314975" y="144555"/>
          <a:ext cx="2162175" cy="3052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904900</xdr:colOff>
      <xdr:row>0</xdr:row>
      <xdr:rowOff>154080</xdr:rowOff>
    </xdr:from>
    <xdr:ext cx="2162175" cy="305248"/>
    <xdr:pic>
      <xdr:nvPicPr>
        <xdr:cNvPr id="102"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100-000066000000}"/>
            </a:ext>
          </a:extLst>
        </xdr:cNvPr>
        <xdr:cNvPicPr/>
      </xdr:nvPicPr>
      <xdr:blipFill>
        <a:blip xmlns:r="http://schemas.openxmlformats.org/officeDocument/2006/relationships" r:embed="rId2" cstate="print"/>
        <a:stretch>
          <a:fillRect/>
        </a:stretch>
      </xdr:blipFill>
      <xdr:spPr>
        <a:xfrm>
          <a:off x="5429275" y="154080"/>
          <a:ext cx="2162175" cy="30524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13</xdr:col>
      <xdr:colOff>66700</xdr:colOff>
      <xdr:row>0</xdr:row>
      <xdr:rowOff>144555</xdr:rowOff>
    </xdr:from>
    <xdr:ext cx="2162175" cy="305248"/>
    <xdr:pic>
      <xdr:nvPicPr>
        <xdr:cNvPr id="103"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200-000067000000}"/>
            </a:ext>
          </a:extLst>
        </xdr:cNvPr>
        <xdr:cNvPicPr/>
      </xdr:nvPicPr>
      <xdr:blipFill>
        <a:blip xmlns:r="http://schemas.openxmlformats.org/officeDocument/2006/relationships" r:embed="rId2" cstate="print"/>
        <a:stretch>
          <a:fillRect/>
        </a:stretch>
      </xdr:blipFill>
      <xdr:spPr>
        <a:xfrm>
          <a:off x="10087000" y="144555"/>
          <a:ext cx="2162175" cy="30524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13</xdr:col>
      <xdr:colOff>114325</xdr:colOff>
      <xdr:row>0</xdr:row>
      <xdr:rowOff>135030</xdr:rowOff>
    </xdr:from>
    <xdr:ext cx="2162175" cy="305248"/>
    <xdr:pic>
      <xdr:nvPicPr>
        <xdr:cNvPr id="104"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300-000068000000}"/>
            </a:ext>
          </a:extLst>
        </xdr:cNvPr>
        <xdr:cNvPicPr/>
      </xdr:nvPicPr>
      <xdr:blipFill>
        <a:blip xmlns:r="http://schemas.openxmlformats.org/officeDocument/2006/relationships" r:embed="rId2" cstate="print"/>
        <a:stretch>
          <a:fillRect/>
        </a:stretch>
      </xdr:blipFill>
      <xdr:spPr>
        <a:xfrm>
          <a:off x="10420375" y="135030"/>
          <a:ext cx="2162175" cy="30524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13</xdr:col>
      <xdr:colOff>57175</xdr:colOff>
      <xdr:row>0</xdr:row>
      <xdr:rowOff>135030</xdr:rowOff>
    </xdr:from>
    <xdr:ext cx="2162175" cy="305248"/>
    <xdr:pic>
      <xdr:nvPicPr>
        <xdr:cNvPr id="105"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400-000069000000}"/>
            </a:ext>
          </a:extLst>
        </xdr:cNvPr>
        <xdr:cNvPicPr/>
      </xdr:nvPicPr>
      <xdr:blipFill>
        <a:blip xmlns:r="http://schemas.openxmlformats.org/officeDocument/2006/relationships" r:embed="rId2" cstate="print"/>
        <a:stretch>
          <a:fillRect/>
        </a:stretch>
      </xdr:blipFill>
      <xdr:spPr>
        <a:xfrm>
          <a:off x="9791725" y="135030"/>
          <a:ext cx="2162175" cy="30524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4</xdr:col>
      <xdr:colOff>628675</xdr:colOff>
      <xdr:row>0</xdr:row>
      <xdr:rowOff>173130</xdr:rowOff>
    </xdr:from>
    <xdr:ext cx="2162175" cy="305248"/>
    <xdr:pic>
      <xdr:nvPicPr>
        <xdr:cNvPr id="106"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500-00006A000000}"/>
            </a:ext>
          </a:extLst>
        </xdr:cNvPr>
        <xdr:cNvPicPr/>
      </xdr:nvPicPr>
      <xdr:blipFill>
        <a:blip xmlns:r="http://schemas.openxmlformats.org/officeDocument/2006/relationships" r:embed="rId2" cstate="print"/>
        <a:stretch>
          <a:fillRect/>
        </a:stretch>
      </xdr:blipFill>
      <xdr:spPr>
        <a:xfrm>
          <a:off x="5943625" y="173130"/>
          <a:ext cx="2162175" cy="30524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3</xdr:col>
      <xdr:colOff>771550</xdr:colOff>
      <xdr:row>0</xdr:row>
      <xdr:rowOff>182655</xdr:rowOff>
    </xdr:from>
    <xdr:ext cx="2162175" cy="305248"/>
    <xdr:pic>
      <xdr:nvPicPr>
        <xdr:cNvPr id="107"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600-00006B000000}"/>
            </a:ext>
          </a:extLst>
        </xdr:cNvPr>
        <xdr:cNvPicPr/>
      </xdr:nvPicPr>
      <xdr:blipFill>
        <a:blip xmlns:r="http://schemas.openxmlformats.org/officeDocument/2006/relationships" r:embed="rId2" cstate="print"/>
        <a:stretch>
          <a:fillRect/>
        </a:stretch>
      </xdr:blipFill>
      <xdr:spPr>
        <a:xfrm>
          <a:off x="5505475" y="182655"/>
          <a:ext cx="2162175" cy="30524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13</xdr:col>
      <xdr:colOff>85750</xdr:colOff>
      <xdr:row>0</xdr:row>
      <xdr:rowOff>182655</xdr:rowOff>
    </xdr:from>
    <xdr:ext cx="2162175" cy="305248"/>
    <xdr:pic>
      <xdr:nvPicPr>
        <xdr:cNvPr id="108" name="Leadership-Tools Logo" descr="Leadership-Tools.com">
          <a:hlinkClick xmlns:r="http://schemas.openxmlformats.org/officeDocument/2006/relationships" r:id="rId1" tooltip="Visit Leadership-Tools.com"/>
          <a:extLst>
            <a:ext uri="{FF2B5EF4-FFF2-40B4-BE49-F238E27FC236}">
              <a16:creationId xmlns:a16="http://schemas.microsoft.com/office/drawing/2014/main" id="{00000000-0008-0000-0700-00006C000000}"/>
            </a:ext>
          </a:extLst>
        </xdr:cNvPr>
        <xdr:cNvPicPr/>
      </xdr:nvPicPr>
      <xdr:blipFill>
        <a:blip xmlns:r="http://schemas.openxmlformats.org/officeDocument/2006/relationships" r:embed="rId2" cstate="print"/>
        <a:stretch>
          <a:fillRect/>
        </a:stretch>
      </xdr:blipFill>
      <xdr:spPr>
        <a:xfrm>
          <a:off x="10820425" y="182655"/>
          <a:ext cx="2162175" cy="305248"/>
        </a:xfrm>
        <a:prstGeom prst="rect">
          <a:avLst/>
        </a:prstGeom>
      </xdr:spPr>
    </xdr:pic>
    <xdr:clientData/>
  </xdr:one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35"/>
  <sheetViews>
    <sheetView showGridLines="0" tabSelected="1" zoomScaleNormal="100" workbookViewId="0">
      <selection activeCell="B35" sqref="B35:D35"/>
    </sheetView>
  </sheetViews>
  <sheetFormatPr defaultColWidth="8.6640625" defaultRowHeight="14.25" x14ac:dyDescent="0.45"/>
  <cols>
    <col min="1" max="1" width="0.59765625" customWidth="1"/>
    <col min="2" max="2" width="48" customWidth="1"/>
    <col min="3" max="3" width="22" customWidth="1"/>
    <col min="4" max="4" width="34" customWidth="1"/>
  </cols>
  <sheetData>
    <row r="1" spans="2:4" ht="43.5" customHeight="1" x14ac:dyDescent="0.45">
      <c r="B1" s="34" t="s">
        <v>0</v>
      </c>
      <c r="C1" s="34"/>
      <c r="D1" s="34"/>
    </row>
    <row r="2" spans="2:4" ht="49.5" customHeight="1" x14ac:dyDescent="0.45">
      <c r="B2" s="35" t="s">
        <v>222</v>
      </c>
      <c r="C2" s="35"/>
      <c r="D2" s="35"/>
    </row>
    <row r="3" spans="2:4" ht="7.5" customHeight="1" x14ac:dyDescent="0.45"/>
    <row r="4" spans="2:4" ht="18" customHeight="1" x14ac:dyDescent="0.45">
      <c r="B4" s="36" t="s">
        <v>1</v>
      </c>
      <c r="C4" s="36"/>
      <c r="D4" s="36"/>
    </row>
    <row r="5" spans="2:4" ht="48.75" customHeight="1" x14ac:dyDescent="0.45">
      <c r="B5" s="37" t="s">
        <v>223</v>
      </c>
      <c r="C5" s="38"/>
      <c r="D5" s="38"/>
    </row>
    <row r="6" spans="2:4" ht="6" customHeight="1" x14ac:dyDescent="0.45"/>
    <row r="7" spans="2:4" ht="18" customHeight="1" x14ac:dyDescent="0.45">
      <c r="B7" s="36" t="s">
        <v>2</v>
      </c>
      <c r="C7" s="36"/>
      <c r="D7" s="36"/>
    </row>
    <row r="8" spans="2:4" ht="18" customHeight="1" x14ac:dyDescent="0.45">
      <c r="B8" s="37" t="s">
        <v>224</v>
      </c>
      <c r="C8" s="38"/>
      <c r="D8" s="38"/>
    </row>
    <row r="9" spans="2:4" ht="18" customHeight="1" x14ac:dyDescent="0.45">
      <c r="B9" s="37" t="s">
        <v>225</v>
      </c>
      <c r="C9" s="38"/>
      <c r="D9" s="38"/>
    </row>
    <row r="10" spans="2:4" ht="18" customHeight="1" x14ac:dyDescent="0.45">
      <c r="B10" s="37" t="s">
        <v>3</v>
      </c>
      <c r="C10" s="38"/>
      <c r="D10" s="38"/>
    </row>
    <row r="11" spans="2:4" ht="18" customHeight="1" x14ac:dyDescent="0.45">
      <c r="B11" s="37" t="s">
        <v>226</v>
      </c>
      <c r="C11" s="38"/>
      <c r="D11" s="38"/>
    </row>
    <row r="12" spans="2:4" ht="18" customHeight="1" x14ac:dyDescent="0.45">
      <c r="B12" s="39" t="s">
        <v>227</v>
      </c>
      <c r="C12" s="40"/>
      <c r="D12" s="40"/>
    </row>
    <row r="13" spans="2:4" ht="7.5" customHeight="1" x14ac:dyDescent="0.45"/>
    <row r="14" spans="2:4" ht="23.25" x14ac:dyDescent="0.45">
      <c r="B14" s="3" t="s">
        <v>4</v>
      </c>
      <c r="C14" s="4" t="s">
        <v>5</v>
      </c>
      <c r="D14" s="2" t="s">
        <v>6</v>
      </c>
    </row>
    <row r="15" spans="2:4" ht="9.75" customHeight="1" x14ac:dyDescent="0.45"/>
    <row r="16" spans="2:4" ht="21.75" customHeight="1" x14ac:dyDescent="0.45">
      <c r="B16" s="41" t="s">
        <v>7</v>
      </c>
      <c r="C16" s="41"/>
      <c r="D16" s="41"/>
    </row>
    <row r="17" spans="2:4" ht="15" customHeight="1" x14ac:dyDescent="0.45">
      <c r="B17" s="42" t="s">
        <v>228</v>
      </c>
      <c r="C17" s="43"/>
      <c r="D17" s="43"/>
    </row>
    <row r="18" spans="2:4" ht="24" customHeight="1" x14ac:dyDescent="0.45">
      <c r="B18" s="3" t="s">
        <v>8</v>
      </c>
      <c r="C18" s="44" t="str">
        <f>IF('1. Startup Costs'!C28=0,"Fill in tabs 1 to 3 first",TEXT('1. Startup Costs'!C28,"$#,##0"))</f>
        <v>Fill in tabs 1 to 3 first</v>
      </c>
      <c r="D18" s="44"/>
    </row>
    <row r="19" spans="2:4" ht="24" customHeight="1" x14ac:dyDescent="0.45">
      <c r="B19" s="3" t="s">
        <v>9</v>
      </c>
      <c r="C19" s="44" t="str">
        <f>IF('2. Sales Forecast'!$P$11=0,"Fill in tabs 1 to 3 first",TEXT('Income Statement'!$C$23,"$#,##0"))</f>
        <v>Fill in tabs 1 to 3 first</v>
      </c>
      <c r="D19" s="44"/>
    </row>
    <row r="20" spans="2:4" ht="24" customHeight="1" x14ac:dyDescent="0.45">
      <c r="B20" s="3" t="s">
        <v>10</v>
      </c>
      <c r="C20" s="44" t="str">
        <f>IF('2. Sales Forecast'!$P$11=0,"Fill in tabs 1 to 3 first",IF(MIN('Cash Flow Projection'!$D$18:$O$18)=9999,"Cash stays positive all year","Cash runs short in Month "&amp;MIN('Cash Flow Projection'!$D$18:$O$18)))</f>
        <v>Fill in tabs 1 to 3 first</v>
      </c>
      <c r="D20" s="44"/>
    </row>
    <row r="21" spans="2:4" ht="24" customHeight="1" x14ac:dyDescent="0.45">
      <c r="B21" s="3" t="s">
        <v>11</v>
      </c>
      <c r="C21" s="44" t="str">
        <f>IF('2. Sales Forecast'!$P$11=0,"Fill in tabs 1 to 3 first",IF('Income Statement'!$C$20&gt;=0,"Yes: profit of "&amp;TEXT('Income Statement'!$C$20,"$#,##0"),"No: loss of "&amp;TEXT(-'Income Statement'!$C$20,"$#,##0")))</f>
        <v>Fill in tabs 1 to 3 first</v>
      </c>
      <c r="D21" s="44"/>
    </row>
    <row r="22" spans="2:4" ht="24" customHeight="1" x14ac:dyDescent="0.45">
      <c r="B22" s="3" t="s">
        <v>240</v>
      </c>
      <c r="C22" s="44" t="str">
        <f>IF('2. Sales Forecast'!$P$11=0,"Fill in tabs 1 to 3 first",IF('Income Statement'!$C$23=0,"Not while costs exceed sales",IF(Settings!$D$27&lt;9999,"Month "&amp;Settings!$D$27,IF(('2. Sales Forecast'!$O$11-'2. Sales Forecast'!$D$11)&gt;0,"About month "&amp;(12+ROUNDUP(('Income Statement'!$C$23-'2. Sales Forecast'!$O$11)/(('2. Sales Forecast'!$O$11-'2. Sales Forecast'!$D$11)/11),0))&amp;" at year one’s pace","Not within year one at this pace"))))</f>
        <v>Fill in tabs 1 to 3 first</v>
      </c>
      <c r="D22" s="44"/>
    </row>
    <row r="23" spans="2:4" ht="21.75" customHeight="1" x14ac:dyDescent="0.45">
      <c r="B23" s="41" t="s">
        <v>12</v>
      </c>
      <c r="C23" s="41"/>
      <c r="D23" s="41"/>
    </row>
    <row r="24" spans="2:4" ht="15" customHeight="1" x14ac:dyDescent="0.45">
      <c r="B24" s="42" t="s">
        <v>229</v>
      </c>
      <c r="C24" s="43"/>
      <c r="D24" s="43"/>
    </row>
    <row r="25" spans="2:4" ht="30" customHeight="1" x14ac:dyDescent="0.45">
      <c r="B25" s="45" t="str">
        <f>IF('1. Startup Costs'!C28=0,"Fill in the tabs to see what your numbers mean.",IF('1. Startup Costs'!C37&gt;=0,"Funding covers opening with "&amp;TEXT('1. Startup Costs'!C37,"$#,##0")&amp;" to spare.","You’re short "&amp;TEXT(-'1. Startup Costs'!C37,"$#,##0")&amp;" on opening. Raise more before you commit."))</f>
        <v>Fill in the tabs to see what your numbers mean.</v>
      </c>
      <c r="C25" s="45"/>
      <c r="D25" s="45"/>
    </row>
    <row r="26" spans="2:4" ht="30" customHeight="1" x14ac:dyDescent="0.45">
      <c r="B26" s="45" t="str">
        <f>IF('Income Statement'!$C$6=0,"",IF('Income Statement'!$C$23=0,"Enter your costs to see break-even.",IF('Income Statement'!$C$24&gt;='Income Statement'!$C$23,"An average month clears break-even with "&amp;TEXT('Income Statement'!$C$24-'Income Statement'!$C$23,"$#,##0")&amp;" of room.","An average month falls "&amp;TEXT('Income Statement'!$C$23-'Income Statement'!$C$24,"$#,##0")&amp;" short of break-even.")))</f>
        <v/>
      </c>
      <c r="C26" s="45"/>
      <c r="D26" s="45"/>
    </row>
    <row r="27" spans="2:4" ht="30" customHeight="1" x14ac:dyDescent="0.45">
      <c r="B27" s="45" t="str">
        <f>IF('2. Sales Forecast'!$P$11=0,"",IF(MIN('Cash Flow Projection'!$D$18:$O$18)=9999,"Cash stays positive all year; its lowest point is "&amp;TEXT('Cash Flow Projection'!$D$17,"$#,##0")&amp;".","Cash goes negative in Month "&amp;MIN('Cash Flow Projection'!$D$18:$O$18)&amp;", down to "&amp;TEXT('Cash Flow Projection'!$D$17,"$#,##0")&amp;". Lean on your cushion or collect faster."))</f>
        <v/>
      </c>
      <c r="C27" s="45"/>
      <c r="D27" s="45"/>
    </row>
    <row r="28" spans="2:4" ht="30" customHeight="1" x14ac:dyDescent="0.45">
      <c r="B28" s="45" t="str">
        <f>IF('Income Statement'!$C$6=0,"","Labor and its taxes take "&amp;TEXT(IFERROR(('3. Monthly Expenses'!$P$8+'3. Monthly Expenses'!$P$9+'3. Monthly Expenses'!$P$10)/'Income Statement'!$C$6,0),"0%")&amp;" of sales, the number most first-timers underestimate.")</f>
        <v/>
      </c>
      <c r="C28" s="45"/>
      <c r="D28" s="45"/>
    </row>
    <row r="29" spans="2:4" ht="30" customHeight="1" x14ac:dyDescent="0.45">
      <c r="B29" s="45" t="str">
        <f>IF('1. Startup Costs'!C28=0,"",IF('Income Statement'!$C$20&gt;=0,"Year one clears "&amp;TEXT('Income Statement'!$C$20,"$#,##0")&amp;". On paper, the idea makes money.","Year one loses "&amp;TEXT(-'Income Statement'!$C$20,"$#,##0")&amp;". The idea doesn’t cover its costs yet."))</f>
        <v/>
      </c>
      <c r="C29" s="45"/>
      <c r="D29" s="45"/>
    </row>
    <row r="30" spans="2:4" ht="9.75" customHeight="1" x14ac:dyDescent="0.45"/>
    <row r="31" spans="2:4" ht="18" customHeight="1" x14ac:dyDescent="0.45">
      <c r="B31" s="36" t="s">
        <v>13</v>
      </c>
      <c r="C31" s="36"/>
      <c r="D31" s="36"/>
    </row>
    <row r="32" spans="2:4" ht="30" customHeight="1" x14ac:dyDescent="0.45">
      <c r="B32" s="38" t="s">
        <v>14</v>
      </c>
      <c r="C32" s="38"/>
      <c r="D32" s="38"/>
    </row>
    <row r="33" spans="2:4" ht="27.75" customHeight="1" x14ac:dyDescent="0.45">
      <c r="B33" s="37" t="s">
        <v>230</v>
      </c>
      <c r="C33" s="38"/>
      <c r="D33" s="38"/>
    </row>
    <row r="34" spans="2:4" ht="7.5" customHeight="1" x14ac:dyDescent="0.45"/>
    <row r="35" spans="2:4" x14ac:dyDescent="0.45">
      <c r="B35" s="58" t="s">
        <v>15</v>
      </c>
      <c r="C35" s="58"/>
      <c r="D35" s="58"/>
    </row>
  </sheetData>
  <sheetProtection sheet="1" formatCells="0"/>
  <mergeCells count="28">
    <mergeCell ref="B33:D33"/>
    <mergeCell ref="B35:D35"/>
    <mergeCell ref="B27:D27"/>
    <mergeCell ref="B28:D28"/>
    <mergeCell ref="B29:D29"/>
    <mergeCell ref="B31:D31"/>
    <mergeCell ref="B32:D32"/>
    <mergeCell ref="C21:D21"/>
    <mergeCell ref="B23:D23"/>
    <mergeCell ref="B24:D24"/>
    <mergeCell ref="B25:D25"/>
    <mergeCell ref="B26:D26"/>
    <mergeCell ref="C22:D22"/>
    <mergeCell ref="B16:D16"/>
    <mergeCell ref="B17:D17"/>
    <mergeCell ref="C18:D18"/>
    <mergeCell ref="C19:D19"/>
    <mergeCell ref="C20:D20"/>
    <mergeCell ref="B8:D8"/>
    <mergeCell ref="B9:D9"/>
    <mergeCell ref="B10:D10"/>
    <mergeCell ref="B11:D11"/>
    <mergeCell ref="B12:D12"/>
    <mergeCell ref="B1:D1"/>
    <mergeCell ref="B2:D2"/>
    <mergeCell ref="B4:D4"/>
    <mergeCell ref="B5:D5"/>
    <mergeCell ref="B7:D7"/>
  </mergeCells>
  <dataValidations count="1">
    <dataValidation type="list" allowBlank="1" sqref="C14" xr:uid="{00000000-0002-0000-0000-000000000000}">
      <formula1>PaymentTiming</formula1>
      <formula2>0</formula2>
    </dataValidation>
  </dataValidations>
  <pageMargins left="0.4" right="0.4" top="0.35" bottom="0.35" header="0.511811023622047" footer="0.511811023622047"/>
  <pageSetup scale="95"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38"/>
  <sheetViews>
    <sheetView showGridLines="0" zoomScaleNormal="100" workbookViewId="0"/>
  </sheetViews>
  <sheetFormatPr defaultColWidth="8.6640625" defaultRowHeight="14.25" x14ac:dyDescent="0.45"/>
  <cols>
    <col min="1" max="1" width="0.59765625" customWidth="1"/>
    <col min="2" max="2" width="46" customWidth="1"/>
    <col min="3" max="3" width="15" customWidth="1"/>
    <col min="4" max="4" width="44" customWidth="1"/>
  </cols>
  <sheetData>
    <row r="1" spans="2:4" ht="43.5" customHeight="1" x14ac:dyDescent="0.45">
      <c r="B1" s="46" t="s">
        <v>16</v>
      </c>
      <c r="C1" s="46"/>
      <c r="D1" s="46"/>
    </row>
    <row r="2" spans="2:4" ht="50.35" customHeight="1" x14ac:dyDescent="0.45">
      <c r="B2" s="47" t="s">
        <v>231</v>
      </c>
      <c r="C2" s="48"/>
      <c r="D2" s="48"/>
    </row>
    <row r="3" spans="2:4" ht="6" customHeight="1" x14ac:dyDescent="0.45"/>
    <row r="4" spans="2:4" ht="39.75" customHeight="1" x14ac:dyDescent="0.45">
      <c r="B4" s="49" t="s">
        <v>241</v>
      </c>
      <c r="C4" s="50"/>
      <c r="D4" s="50"/>
    </row>
    <row r="5" spans="2:4" ht="13.5" customHeight="1" x14ac:dyDescent="0.45"/>
    <row r="6" spans="2:4" ht="18" customHeight="1" x14ac:dyDescent="0.45">
      <c r="B6" s="5" t="s">
        <v>17</v>
      </c>
      <c r="C6" s="6" t="s">
        <v>18</v>
      </c>
      <c r="D6" s="5" t="s">
        <v>19</v>
      </c>
    </row>
    <row r="7" spans="2:4" ht="21.75" customHeight="1" x14ac:dyDescent="0.45">
      <c r="B7" s="41" t="s">
        <v>20</v>
      </c>
      <c r="C7" s="41"/>
      <c r="D7" s="41"/>
    </row>
    <row r="8" spans="2:4" x14ac:dyDescent="0.45">
      <c r="B8" s="7" t="s">
        <v>21</v>
      </c>
      <c r="C8" s="8"/>
    </row>
    <row r="9" spans="2:4" x14ac:dyDescent="0.45">
      <c r="B9" s="7" t="s">
        <v>22</v>
      </c>
      <c r="C9" s="8"/>
    </row>
    <row r="10" spans="2:4" x14ac:dyDescent="0.45">
      <c r="B10" s="7" t="s">
        <v>23</v>
      </c>
      <c r="C10" s="8"/>
    </row>
    <row r="11" spans="2:4" x14ac:dyDescent="0.45">
      <c r="B11" s="7" t="s">
        <v>24</v>
      </c>
      <c r="C11" s="8"/>
    </row>
    <row r="12" spans="2:4" x14ac:dyDescent="0.45">
      <c r="B12" s="7" t="s">
        <v>25</v>
      </c>
      <c r="C12" s="8"/>
    </row>
    <row r="13" spans="2:4" x14ac:dyDescent="0.45">
      <c r="B13" s="32" t="s">
        <v>26</v>
      </c>
      <c r="C13" s="8"/>
    </row>
    <row r="14" spans="2:4" x14ac:dyDescent="0.45">
      <c r="B14" s="3" t="s">
        <v>27</v>
      </c>
      <c r="C14" s="1">
        <f>SUM(C8:C13)</f>
        <v>0</v>
      </c>
    </row>
    <row r="15" spans="2:4" ht="6" customHeight="1" x14ac:dyDescent="0.45"/>
    <row r="16" spans="2:4" ht="21.75" customHeight="1" x14ac:dyDescent="0.45">
      <c r="B16" s="41" t="s">
        <v>28</v>
      </c>
      <c r="C16" s="41"/>
      <c r="D16" s="41"/>
    </row>
    <row r="17" spans="2:4" x14ac:dyDescent="0.45">
      <c r="B17" s="7" t="s">
        <v>29</v>
      </c>
      <c r="C17" s="8"/>
    </row>
    <row r="18" spans="2:4" x14ac:dyDescent="0.45">
      <c r="B18" s="7" t="s">
        <v>30</v>
      </c>
      <c r="C18" s="8"/>
    </row>
    <row r="19" spans="2:4" x14ac:dyDescent="0.45">
      <c r="B19" s="7" t="s">
        <v>31</v>
      </c>
      <c r="C19" s="8"/>
    </row>
    <row r="20" spans="2:4" x14ac:dyDescent="0.45">
      <c r="B20" s="7" t="s">
        <v>32</v>
      </c>
      <c r="C20" s="8"/>
    </row>
    <row r="21" spans="2:4" x14ac:dyDescent="0.45">
      <c r="B21" s="7" t="s">
        <v>33</v>
      </c>
      <c r="C21" s="8"/>
    </row>
    <row r="22" spans="2:4" x14ac:dyDescent="0.45">
      <c r="B22" s="32" t="s">
        <v>26</v>
      </c>
      <c r="C22" s="8"/>
    </row>
    <row r="23" spans="2:4" x14ac:dyDescent="0.45">
      <c r="B23" s="3" t="s">
        <v>34</v>
      </c>
      <c r="C23" s="1">
        <f>SUM(C17:C22)</f>
        <v>0</v>
      </c>
    </row>
    <row r="24" spans="2:4" ht="6" customHeight="1" x14ac:dyDescent="0.45"/>
    <row r="25" spans="2:4" ht="21.75" customHeight="1" x14ac:dyDescent="0.45">
      <c r="B25" s="41" t="s">
        <v>35</v>
      </c>
      <c r="C25" s="41"/>
      <c r="D25" s="41"/>
    </row>
    <row r="26" spans="2:4" x14ac:dyDescent="0.45">
      <c r="B26" s="7" t="s">
        <v>36</v>
      </c>
      <c r="C26" s="8"/>
      <c r="D26" s="2" t="s">
        <v>37</v>
      </c>
    </row>
    <row r="27" spans="2:4" ht="7.5" customHeight="1" x14ac:dyDescent="0.45"/>
    <row r="28" spans="2:4" ht="19.5" customHeight="1" x14ac:dyDescent="0.45">
      <c r="B28" s="3" t="s">
        <v>38</v>
      </c>
      <c r="C28" s="9">
        <f>C14+C23+C26</f>
        <v>0</v>
      </c>
    </row>
    <row r="29" spans="2:4" ht="9.75" customHeight="1" x14ac:dyDescent="0.45"/>
    <row r="30" spans="2:4" ht="21.75" customHeight="1" x14ac:dyDescent="0.45">
      <c r="B30" s="41" t="s">
        <v>39</v>
      </c>
      <c r="C30" s="41"/>
      <c r="D30" s="41"/>
    </row>
    <row r="31" spans="2:4" x14ac:dyDescent="0.45">
      <c r="B31" s="10" t="s">
        <v>40</v>
      </c>
      <c r="C31" s="8"/>
    </row>
    <row r="32" spans="2:4" x14ac:dyDescent="0.45">
      <c r="B32" s="10" t="s">
        <v>41</v>
      </c>
      <c r="C32" s="8"/>
    </row>
    <row r="33" spans="2:4" x14ac:dyDescent="0.45">
      <c r="B33" s="10" t="s">
        <v>42</v>
      </c>
      <c r="C33" s="11"/>
      <c r="D33" s="2" t="s">
        <v>43</v>
      </c>
    </row>
    <row r="34" spans="2:4" x14ac:dyDescent="0.45">
      <c r="B34" s="10" t="s">
        <v>44</v>
      </c>
      <c r="C34" s="12"/>
    </row>
    <row r="35" spans="2:4" ht="3.75" customHeight="1" x14ac:dyDescent="0.45"/>
    <row r="36" spans="2:4" x14ac:dyDescent="0.45">
      <c r="B36" s="3" t="s">
        <v>45</v>
      </c>
      <c r="C36" s="1">
        <f>C31+C32</f>
        <v>0</v>
      </c>
    </row>
    <row r="37" spans="2:4" ht="23.25" x14ac:dyDescent="0.45">
      <c r="B37" s="3" t="s">
        <v>46</v>
      </c>
      <c r="C37" s="1">
        <f>C36-C28</f>
        <v>0</v>
      </c>
      <c r="D37" s="2" t="s">
        <v>47</v>
      </c>
    </row>
    <row r="38" spans="2:4" x14ac:dyDescent="0.45">
      <c r="B38" s="3" t="s">
        <v>48</v>
      </c>
      <c r="C38" s="1">
        <f>IF(C32&gt;0,-PMT(C33/12,C34*12,C32),0)</f>
        <v>0</v>
      </c>
      <c r="D38" s="2" t="s">
        <v>49</v>
      </c>
    </row>
  </sheetData>
  <sheetProtection sheet="1" formatCells="0" insertRows="0"/>
  <mergeCells count="7">
    <mergeCell ref="B25:D25"/>
    <mergeCell ref="B30:D30"/>
    <mergeCell ref="B1:D1"/>
    <mergeCell ref="B2:D2"/>
    <mergeCell ref="B4:D4"/>
    <mergeCell ref="B7:D7"/>
    <mergeCell ref="B16:D16"/>
  </mergeCells>
  <conditionalFormatting sqref="C37">
    <cfRule type="cellIs" dxfId="4" priority="2" operator="lessThan">
      <formula>0</formula>
    </cfRule>
  </conditionalFormatting>
  <pageMargins left="0.4" right="0.4" top="0.55000000000000004" bottom="0.55000000000000004" header="0.511811023622047" footer="0.511811023622047"/>
  <pageSetup scale="94"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11"/>
  <sheetViews>
    <sheetView showGridLines="0" zoomScaleNormal="100" workbookViewId="0">
      <pane xSplit="3" ySplit="6" topLeftCell="D7" activePane="bottomRight" state="frozen"/>
      <selection pane="topRight" activeCell="D1" sqref="D1"/>
      <selection pane="bottomLeft" activeCell="A7" sqref="A7"/>
      <selection pane="bottomRight" sqref="A1:A1048576"/>
    </sheetView>
  </sheetViews>
  <sheetFormatPr defaultColWidth="8.6640625" defaultRowHeight="14.25" x14ac:dyDescent="0.45"/>
  <cols>
    <col min="1" max="1" width="0.59765625" customWidth="1"/>
    <col min="2" max="2" width="40" customWidth="1"/>
    <col min="3" max="3" width="2" customWidth="1"/>
    <col min="4" max="15" width="9.53125" customWidth="1"/>
    <col min="16" max="16" width="13" customWidth="1"/>
  </cols>
  <sheetData>
    <row r="1" spans="2:16" ht="43.5" customHeight="1" x14ac:dyDescent="0.45">
      <c r="B1" s="46" t="s">
        <v>50</v>
      </c>
      <c r="C1" s="46"/>
      <c r="D1" s="46"/>
      <c r="E1" s="46"/>
      <c r="F1" s="46"/>
      <c r="G1" s="46"/>
      <c r="H1" s="46"/>
      <c r="I1" s="46"/>
      <c r="J1" s="46"/>
      <c r="K1" s="46"/>
      <c r="L1" s="46"/>
      <c r="M1" s="46"/>
      <c r="N1" s="46"/>
      <c r="O1" s="46"/>
      <c r="P1" s="46"/>
    </row>
    <row r="2" spans="2:16" ht="31.5" customHeight="1" x14ac:dyDescent="0.45">
      <c r="B2" s="47" t="s">
        <v>232</v>
      </c>
      <c r="C2" s="48"/>
      <c r="D2" s="48"/>
      <c r="E2" s="48"/>
      <c r="F2" s="48"/>
      <c r="G2" s="48"/>
      <c r="H2" s="48"/>
      <c r="I2" s="48"/>
      <c r="J2" s="48"/>
      <c r="K2" s="48"/>
      <c r="L2" s="48"/>
      <c r="M2" s="48"/>
      <c r="N2" s="48"/>
      <c r="O2" s="48"/>
      <c r="P2" s="48"/>
    </row>
    <row r="3" spans="2:16" ht="6" customHeight="1" x14ac:dyDescent="0.45"/>
    <row r="4" spans="2:16" ht="39.75" customHeight="1" x14ac:dyDescent="0.45">
      <c r="B4" s="49" t="s">
        <v>233</v>
      </c>
      <c r="C4" s="50"/>
      <c r="D4" s="50"/>
      <c r="E4" s="50"/>
      <c r="F4" s="50"/>
      <c r="G4" s="50"/>
      <c r="H4" s="50"/>
      <c r="I4" s="50"/>
      <c r="J4" s="50"/>
      <c r="K4" s="50"/>
      <c r="L4" s="50"/>
      <c r="M4" s="50"/>
      <c r="N4" s="50"/>
      <c r="O4" s="50"/>
      <c r="P4" s="50"/>
    </row>
    <row r="5" spans="2:16" ht="3.75" customHeight="1" x14ac:dyDescent="0.45"/>
    <row r="6" spans="2:16" ht="24" customHeight="1" x14ac:dyDescent="0.45">
      <c r="B6" s="5" t="s">
        <v>51</v>
      </c>
      <c r="C6" s="13"/>
      <c r="D6" s="14" t="s">
        <v>52</v>
      </c>
      <c r="E6" s="14" t="s">
        <v>53</v>
      </c>
      <c r="F6" s="14" t="s">
        <v>54</v>
      </c>
      <c r="G6" s="14" t="s">
        <v>55</v>
      </c>
      <c r="H6" s="14" t="s">
        <v>56</v>
      </c>
      <c r="I6" s="14" t="s">
        <v>57</v>
      </c>
      <c r="J6" s="14" t="s">
        <v>58</v>
      </c>
      <c r="K6" s="14" t="s">
        <v>59</v>
      </c>
      <c r="L6" s="14" t="s">
        <v>60</v>
      </c>
      <c r="M6" s="14" t="s">
        <v>61</v>
      </c>
      <c r="N6" s="14" t="s">
        <v>62</v>
      </c>
      <c r="O6" s="14" t="s">
        <v>63</v>
      </c>
      <c r="P6" s="15" t="s">
        <v>64</v>
      </c>
    </row>
    <row r="7" spans="2:16" x14ac:dyDescent="0.45">
      <c r="B7" s="32" t="s">
        <v>242</v>
      </c>
      <c r="D7" s="8"/>
      <c r="E7" s="8"/>
      <c r="F7" s="8"/>
      <c r="G7" s="8"/>
      <c r="H7" s="8"/>
      <c r="I7" s="8"/>
      <c r="J7" s="8"/>
      <c r="K7" s="8"/>
      <c r="L7" s="8"/>
      <c r="M7" s="8"/>
      <c r="N7" s="8"/>
      <c r="O7" s="8"/>
      <c r="P7" s="16">
        <f>SUM(D7:O7)</f>
        <v>0</v>
      </c>
    </row>
    <row r="8" spans="2:16" x14ac:dyDescent="0.45">
      <c r="B8" s="32" t="s">
        <v>243</v>
      </c>
      <c r="D8" s="8"/>
      <c r="E8" s="8"/>
      <c r="F8" s="8"/>
      <c r="G8" s="8"/>
      <c r="H8" s="8"/>
      <c r="I8" s="8"/>
      <c r="J8" s="8"/>
      <c r="K8" s="8"/>
      <c r="L8" s="8"/>
      <c r="M8" s="8"/>
      <c r="N8" s="8"/>
      <c r="O8" s="8"/>
      <c r="P8" s="16">
        <f>SUM(D8:O8)</f>
        <v>0</v>
      </c>
    </row>
    <row r="9" spans="2:16" x14ac:dyDescent="0.45">
      <c r="B9" s="7" t="s">
        <v>65</v>
      </c>
      <c r="D9" s="8"/>
      <c r="E9" s="8"/>
      <c r="F9" s="8"/>
      <c r="G9" s="8"/>
      <c r="H9" s="8"/>
      <c r="I9" s="8"/>
      <c r="J9" s="8"/>
      <c r="K9" s="8"/>
      <c r="L9" s="8"/>
      <c r="M9" s="8"/>
      <c r="N9" s="8"/>
      <c r="O9" s="8"/>
      <c r="P9" s="16">
        <f>SUM(D9:O9)</f>
        <v>0</v>
      </c>
    </row>
    <row r="10" spans="2:16" x14ac:dyDescent="0.45">
      <c r="B10" s="7" t="s">
        <v>66</v>
      </c>
      <c r="D10" s="8"/>
      <c r="E10" s="8"/>
      <c r="F10" s="8"/>
      <c r="G10" s="8"/>
      <c r="H10" s="8"/>
      <c r="I10" s="8"/>
      <c r="J10" s="8"/>
      <c r="K10" s="8"/>
      <c r="L10" s="8"/>
      <c r="M10" s="8"/>
      <c r="N10" s="8"/>
      <c r="O10" s="8"/>
      <c r="P10" s="16">
        <f>SUM(D10:O10)</f>
        <v>0</v>
      </c>
    </row>
    <row r="11" spans="2:16" ht="18" customHeight="1" x14ac:dyDescent="0.45">
      <c r="B11" s="3" t="s">
        <v>67</v>
      </c>
      <c r="D11" s="1">
        <f t="shared" ref="D11:O11" si="0">SUM(D7:D10)</f>
        <v>0</v>
      </c>
      <c r="E11" s="1">
        <f t="shared" si="0"/>
        <v>0</v>
      </c>
      <c r="F11" s="1">
        <f t="shared" si="0"/>
        <v>0</v>
      </c>
      <c r="G11" s="1">
        <f t="shared" si="0"/>
        <v>0</v>
      </c>
      <c r="H11" s="1">
        <f t="shared" si="0"/>
        <v>0</v>
      </c>
      <c r="I11" s="1">
        <f t="shared" si="0"/>
        <v>0</v>
      </c>
      <c r="J11" s="1">
        <f t="shared" si="0"/>
        <v>0</v>
      </c>
      <c r="K11" s="1">
        <f t="shared" si="0"/>
        <v>0</v>
      </c>
      <c r="L11" s="1">
        <f t="shared" si="0"/>
        <v>0</v>
      </c>
      <c r="M11" s="1">
        <f t="shared" si="0"/>
        <v>0</v>
      </c>
      <c r="N11" s="1">
        <f t="shared" si="0"/>
        <v>0</v>
      </c>
      <c r="O11" s="1">
        <f t="shared" si="0"/>
        <v>0</v>
      </c>
      <c r="P11" s="9">
        <f>SUM(D11:O11)</f>
        <v>0</v>
      </c>
    </row>
  </sheetData>
  <sheetProtection sheet="1" formatCells="0" insertRows="0"/>
  <mergeCells count="3">
    <mergeCell ref="B1:P1"/>
    <mergeCell ref="B2:P2"/>
    <mergeCell ref="B4:P4"/>
  </mergeCells>
  <pageMargins left="0.4" right="0.4" top="0.55000000000000004" bottom="0.55000000000000004" header="0.511811023622047" footer="0.511811023622047"/>
  <pageSetup paperSize="5"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34"/>
  <sheetViews>
    <sheetView showGridLines="0" zoomScaleNormal="100" workbookViewId="0">
      <pane xSplit="3" ySplit="6" topLeftCell="D7" activePane="bottomRight" state="frozen"/>
      <selection pane="topRight" activeCell="D1" sqref="D1"/>
      <selection pane="bottomLeft" activeCell="A7" sqref="A7"/>
      <selection pane="bottomRight" activeCell="B21" sqref="B21"/>
    </sheetView>
  </sheetViews>
  <sheetFormatPr defaultColWidth="8.6640625" defaultRowHeight="14.25" x14ac:dyDescent="0.45"/>
  <cols>
    <col min="1" max="1" width="0.33203125" customWidth="1"/>
    <col min="2" max="2" width="34" customWidth="1"/>
    <col min="3" max="3" width="12" customWidth="1"/>
    <col min="4" max="15" width="9.53125" customWidth="1"/>
    <col min="16" max="16" width="13" customWidth="1"/>
  </cols>
  <sheetData>
    <row r="1" spans="2:16" ht="43.5" customHeight="1" x14ac:dyDescent="0.45">
      <c r="B1" s="46" t="s">
        <v>68</v>
      </c>
      <c r="C1" s="46"/>
      <c r="D1" s="46"/>
      <c r="E1" s="46"/>
      <c r="F1" s="46"/>
      <c r="G1" s="46"/>
      <c r="H1" s="46"/>
      <c r="I1" s="46"/>
      <c r="J1" s="46"/>
      <c r="K1" s="46"/>
      <c r="L1" s="46"/>
      <c r="M1" s="46"/>
      <c r="N1" s="46"/>
      <c r="O1" s="46"/>
      <c r="P1" s="46"/>
    </row>
    <row r="2" spans="2:16" ht="22.5" customHeight="1" x14ac:dyDescent="0.45">
      <c r="B2" s="47" t="s">
        <v>234</v>
      </c>
      <c r="C2" s="48"/>
      <c r="D2" s="48"/>
      <c r="E2" s="48"/>
      <c r="F2" s="48"/>
      <c r="G2" s="48"/>
      <c r="H2" s="48"/>
      <c r="I2" s="48"/>
      <c r="J2" s="48"/>
      <c r="K2" s="48"/>
      <c r="L2" s="48"/>
      <c r="M2" s="48"/>
      <c r="N2" s="48"/>
      <c r="O2" s="48"/>
      <c r="P2" s="48"/>
    </row>
    <row r="3" spans="2:16" ht="6" hidden="1" customHeight="1" x14ac:dyDescent="0.45"/>
    <row r="4" spans="2:16" ht="24.75" customHeight="1" x14ac:dyDescent="0.45">
      <c r="B4" s="49" t="s">
        <v>235</v>
      </c>
      <c r="C4" s="50"/>
      <c r="D4" s="50"/>
      <c r="E4" s="50"/>
      <c r="F4" s="50"/>
      <c r="G4" s="50"/>
      <c r="H4" s="50"/>
      <c r="I4" s="50"/>
      <c r="J4" s="50"/>
      <c r="K4" s="50"/>
      <c r="L4" s="50"/>
      <c r="M4" s="50"/>
      <c r="N4" s="50"/>
      <c r="O4" s="50"/>
      <c r="P4" s="50"/>
    </row>
    <row r="5" spans="2:16" ht="3.75" customHeight="1" x14ac:dyDescent="0.45"/>
    <row r="6" spans="2:16" ht="24" customHeight="1" x14ac:dyDescent="0.45">
      <c r="B6" s="5" t="s">
        <v>69</v>
      </c>
      <c r="C6" s="14" t="s">
        <v>70</v>
      </c>
      <c r="D6" s="14" t="s">
        <v>52</v>
      </c>
      <c r="E6" s="14" t="s">
        <v>53</v>
      </c>
      <c r="F6" s="14" t="s">
        <v>54</v>
      </c>
      <c r="G6" s="14" t="s">
        <v>55</v>
      </c>
      <c r="H6" s="14" t="s">
        <v>56</v>
      </c>
      <c r="I6" s="14" t="s">
        <v>57</v>
      </c>
      <c r="J6" s="14" t="s">
        <v>58</v>
      </c>
      <c r="K6" s="14" t="s">
        <v>59</v>
      </c>
      <c r="L6" s="14" t="s">
        <v>60</v>
      </c>
      <c r="M6" s="14" t="s">
        <v>61</v>
      </c>
      <c r="N6" s="14" t="s">
        <v>62</v>
      </c>
      <c r="O6" s="14" t="s">
        <v>63</v>
      </c>
      <c r="P6" s="15" t="s">
        <v>64</v>
      </c>
    </row>
    <row r="7" spans="2:16" ht="21.75" customHeight="1" x14ac:dyDescent="0.45">
      <c r="B7" s="41" t="s">
        <v>71</v>
      </c>
      <c r="C7" s="41"/>
      <c r="D7" s="41"/>
      <c r="E7" s="41"/>
      <c r="F7" s="41"/>
      <c r="G7" s="41"/>
      <c r="H7" s="41"/>
      <c r="I7" s="41"/>
      <c r="J7" s="41"/>
      <c r="K7" s="41"/>
      <c r="L7" s="41"/>
      <c r="M7" s="41"/>
      <c r="N7" s="41"/>
      <c r="O7" s="41"/>
      <c r="P7" s="41"/>
    </row>
    <row r="8" spans="2:16" x14ac:dyDescent="0.45">
      <c r="B8" s="32" t="s">
        <v>244</v>
      </c>
      <c r="D8" s="8"/>
      <c r="E8" s="8"/>
      <c r="F8" s="8"/>
      <c r="G8" s="8"/>
      <c r="H8" s="8"/>
      <c r="I8" s="8"/>
      <c r="J8" s="8"/>
      <c r="K8" s="8"/>
      <c r="L8" s="8"/>
      <c r="M8" s="8"/>
      <c r="N8" s="8"/>
      <c r="O8" s="8"/>
      <c r="P8" s="16">
        <f t="shared" ref="P8:P15" si="0">SUM(D8:O8)</f>
        <v>0</v>
      </c>
    </row>
    <row r="9" spans="2:16" x14ac:dyDescent="0.45">
      <c r="B9" s="7" t="s">
        <v>72</v>
      </c>
      <c r="C9" s="11"/>
      <c r="D9" s="16">
        <f t="shared" ref="D9:O9" si="1">D8*$C$9</f>
        <v>0</v>
      </c>
      <c r="E9" s="16">
        <f t="shared" si="1"/>
        <v>0</v>
      </c>
      <c r="F9" s="16">
        <f t="shared" si="1"/>
        <v>0</v>
      </c>
      <c r="G9" s="16">
        <f t="shared" si="1"/>
        <v>0</v>
      </c>
      <c r="H9" s="16">
        <f t="shared" si="1"/>
        <v>0</v>
      </c>
      <c r="I9" s="16">
        <f t="shared" si="1"/>
        <v>0</v>
      </c>
      <c r="J9" s="16">
        <f t="shared" si="1"/>
        <v>0</v>
      </c>
      <c r="K9" s="16">
        <f t="shared" si="1"/>
        <v>0</v>
      </c>
      <c r="L9" s="16">
        <f t="shared" si="1"/>
        <v>0</v>
      </c>
      <c r="M9" s="16">
        <f t="shared" si="1"/>
        <v>0</v>
      </c>
      <c r="N9" s="16">
        <f t="shared" si="1"/>
        <v>0</v>
      </c>
      <c r="O9" s="16">
        <f t="shared" si="1"/>
        <v>0</v>
      </c>
      <c r="P9" s="16">
        <f t="shared" si="0"/>
        <v>0</v>
      </c>
    </row>
    <row r="10" spans="2:16" x14ac:dyDescent="0.45">
      <c r="B10" s="7" t="s">
        <v>73</v>
      </c>
      <c r="C10" s="11"/>
      <c r="D10" s="16">
        <f t="shared" ref="D10:O10" si="2">D8*$C$10</f>
        <v>0</v>
      </c>
      <c r="E10" s="16">
        <f t="shared" si="2"/>
        <v>0</v>
      </c>
      <c r="F10" s="16">
        <f t="shared" si="2"/>
        <v>0</v>
      </c>
      <c r="G10" s="16">
        <f t="shared" si="2"/>
        <v>0</v>
      </c>
      <c r="H10" s="16">
        <f t="shared" si="2"/>
        <v>0</v>
      </c>
      <c r="I10" s="16">
        <f t="shared" si="2"/>
        <v>0</v>
      </c>
      <c r="J10" s="16">
        <f t="shared" si="2"/>
        <v>0</v>
      </c>
      <c r="K10" s="16">
        <f t="shared" si="2"/>
        <v>0</v>
      </c>
      <c r="L10" s="16">
        <f t="shared" si="2"/>
        <v>0</v>
      </c>
      <c r="M10" s="16">
        <f t="shared" si="2"/>
        <v>0</v>
      </c>
      <c r="N10" s="16">
        <f t="shared" si="2"/>
        <v>0</v>
      </c>
      <c r="O10" s="16">
        <f t="shared" si="2"/>
        <v>0</v>
      </c>
      <c r="P10" s="16">
        <f t="shared" si="0"/>
        <v>0</v>
      </c>
    </row>
    <row r="11" spans="2:16" x14ac:dyDescent="0.45">
      <c r="B11" s="32" t="s">
        <v>245</v>
      </c>
      <c r="D11" s="8"/>
      <c r="E11" s="8"/>
      <c r="F11" s="8"/>
      <c r="G11" s="8"/>
      <c r="H11" s="8"/>
      <c r="I11" s="8"/>
      <c r="J11" s="8"/>
      <c r="K11" s="8"/>
      <c r="L11" s="8"/>
      <c r="M11" s="8"/>
      <c r="N11" s="8"/>
      <c r="O11" s="8"/>
      <c r="P11" s="16">
        <f t="shared" si="0"/>
        <v>0</v>
      </c>
    </row>
    <row r="12" spans="2:16" x14ac:dyDescent="0.45">
      <c r="B12" s="7" t="s">
        <v>26</v>
      </c>
      <c r="D12" s="8"/>
      <c r="E12" s="8"/>
      <c r="F12" s="8"/>
      <c r="G12" s="8"/>
      <c r="H12" s="8"/>
      <c r="I12" s="8"/>
      <c r="J12" s="8"/>
      <c r="K12" s="8"/>
      <c r="L12" s="8"/>
      <c r="M12" s="8"/>
      <c r="N12" s="8"/>
      <c r="O12" s="8"/>
      <c r="P12" s="16">
        <f t="shared" si="0"/>
        <v>0</v>
      </c>
    </row>
    <row r="13" spans="2:16" x14ac:dyDescent="0.45">
      <c r="B13" s="7" t="s">
        <v>26</v>
      </c>
      <c r="D13" s="8"/>
      <c r="E13" s="8"/>
      <c r="F13" s="8"/>
      <c r="G13" s="8"/>
      <c r="H13" s="8"/>
      <c r="I13" s="8"/>
      <c r="J13" s="8"/>
      <c r="K13" s="8"/>
      <c r="L13" s="8"/>
      <c r="M13" s="8"/>
      <c r="N13" s="8"/>
      <c r="O13" s="8"/>
      <c r="P13" s="16"/>
    </row>
    <row r="14" spans="2:16" x14ac:dyDescent="0.45">
      <c r="B14" s="7" t="s">
        <v>26</v>
      </c>
      <c r="D14" s="8"/>
      <c r="E14" s="8"/>
      <c r="F14" s="8"/>
      <c r="G14" s="8"/>
      <c r="H14" s="8"/>
      <c r="I14" s="8"/>
      <c r="J14" s="8"/>
      <c r="K14" s="8"/>
      <c r="L14" s="8"/>
      <c r="M14" s="8"/>
      <c r="N14" s="8"/>
      <c r="O14" s="8"/>
      <c r="P14" s="16">
        <f t="shared" si="0"/>
        <v>0</v>
      </c>
    </row>
    <row r="15" spans="2:16" x14ac:dyDescent="0.45">
      <c r="B15" s="3" t="s">
        <v>74</v>
      </c>
      <c r="D15" s="1">
        <f t="shared" ref="D15:O15" si="3">SUM(D8:D14)</f>
        <v>0</v>
      </c>
      <c r="E15" s="1">
        <f t="shared" si="3"/>
        <v>0</v>
      </c>
      <c r="F15" s="1">
        <f t="shared" si="3"/>
        <v>0</v>
      </c>
      <c r="G15" s="1">
        <f t="shared" si="3"/>
        <v>0</v>
      </c>
      <c r="H15" s="1">
        <f t="shared" si="3"/>
        <v>0</v>
      </c>
      <c r="I15" s="1">
        <f t="shared" si="3"/>
        <v>0</v>
      </c>
      <c r="J15" s="1">
        <f t="shared" si="3"/>
        <v>0</v>
      </c>
      <c r="K15" s="1">
        <f t="shared" si="3"/>
        <v>0</v>
      </c>
      <c r="L15" s="1">
        <f t="shared" si="3"/>
        <v>0</v>
      </c>
      <c r="M15" s="1">
        <f t="shared" si="3"/>
        <v>0</v>
      </c>
      <c r="N15" s="1">
        <f t="shared" si="3"/>
        <v>0</v>
      </c>
      <c r="O15" s="1">
        <f t="shared" si="3"/>
        <v>0</v>
      </c>
      <c r="P15" s="1">
        <f t="shared" si="0"/>
        <v>0</v>
      </c>
    </row>
    <row r="16" spans="2:16" ht="6" customHeight="1" x14ac:dyDescent="0.45"/>
    <row r="17" spans="2:16" ht="21.75" customHeight="1" x14ac:dyDescent="0.45">
      <c r="B17" s="41" t="s">
        <v>75</v>
      </c>
      <c r="C17" s="41"/>
      <c r="D17" s="41"/>
      <c r="E17" s="41"/>
      <c r="F17" s="41"/>
      <c r="G17" s="41"/>
      <c r="H17" s="41"/>
      <c r="I17" s="41"/>
      <c r="J17" s="41"/>
      <c r="K17" s="41"/>
      <c r="L17" s="41"/>
      <c r="M17" s="41"/>
      <c r="N17" s="41"/>
      <c r="O17" s="41"/>
      <c r="P17" s="41"/>
    </row>
    <row r="18" spans="2:16" x14ac:dyDescent="0.45">
      <c r="B18" s="32" t="s">
        <v>246</v>
      </c>
      <c r="D18" s="8"/>
      <c r="E18" s="8"/>
      <c r="F18" s="8"/>
      <c r="G18" s="8"/>
      <c r="H18" s="8"/>
      <c r="I18" s="8"/>
      <c r="J18" s="8"/>
      <c r="K18" s="8"/>
      <c r="L18" s="8"/>
      <c r="M18" s="8"/>
      <c r="N18" s="8"/>
      <c r="O18" s="8"/>
      <c r="P18" s="16">
        <f t="shared" ref="P18:P28" si="4">SUM(D18:O18)</f>
        <v>0</v>
      </c>
    </row>
    <row r="19" spans="2:16" x14ac:dyDescent="0.45">
      <c r="B19" s="32" t="s">
        <v>247</v>
      </c>
      <c r="D19" s="8"/>
      <c r="E19" s="8"/>
      <c r="F19" s="8"/>
      <c r="G19" s="8"/>
      <c r="H19" s="8"/>
      <c r="I19" s="8"/>
      <c r="J19" s="8"/>
      <c r="K19" s="8"/>
      <c r="L19" s="8"/>
      <c r="M19" s="8"/>
      <c r="N19" s="8"/>
      <c r="O19" s="8"/>
      <c r="P19" s="16">
        <f t="shared" si="4"/>
        <v>0</v>
      </c>
    </row>
    <row r="20" spans="2:16" x14ac:dyDescent="0.45">
      <c r="B20" s="32" t="s">
        <v>248</v>
      </c>
      <c r="D20" s="8"/>
      <c r="E20" s="8"/>
      <c r="F20" s="8"/>
      <c r="G20" s="8"/>
      <c r="H20" s="8"/>
      <c r="I20" s="8"/>
      <c r="J20" s="8"/>
      <c r="K20" s="8"/>
      <c r="L20" s="8"/>
      <c r="M20" s="8"/>
      <c r="N20" s="8"/>
      <c r="O20" s="8"/>
      <c r="P20" s="16">
        <f t="shared" si="4"/>
        <v>0</v>
      </c>
    </row>
    <row r="21" spans="2:16" x14ac:dyDescent="0.45">
      <c r="B21" s="32" t="s">
        <v>249</v>
      </c>
      <c r="D21" s="8"/>
      <c r="E21" s="8"/>
      <c r="F21" s="8"/>
      <c r="G21" s="8"/>
      <c r="H21" s="8"/>
      <c r="I21" s="8"/>
      <c r="J21" s="8"/>
      <c r="K21" s="8"/>
      <c r="L21" s="8"/>
      <c r="M21" s="8"/>
      <c r="N21" s="8"/>
      <c r="O21" s="8"/>
      <c r="P21" s="16">
        <f t="shared" si="4"/>
        <v>0</v>
      </c>
    </row>
    <row r="22" spans="2:16" x14ac:dyDescent="0.45">
      <c r="B22" s="32" t="s">
        <v>250</v>
      </c>
      <c r="D22" s="8"/>
      <c r="E22" s="8"/>
      <c r="F22" s="8"/>
      <c r="G22" s="8"/>
      <c r="H22" s="8"/>
      <c r="I22" s="8"/>
      <c r="J22" s="8"/>
      <c r="K22" s="8"/>
      <c r="L22" s="8"/>
      <c r="M22" s="8"/>
      <c r="N22" s="8"/>
      <c r="O22" s="8"/>
      <c r="P22" s="16">
        <f t="shared" si="4"/>
        <v>0</v>
      </c>
    </row>
    <row r="23" spans="2:16" x14ac:dyDescent="0.45">
      <c r="B23" s="32" t="s">
        <v>251</v>
      </c>
      <c r="D23" s="8"/>
      <c r="E23" s="8"/>
      <c r="F23" s="8"/>
      <c r="G23" s="8"/>
      <c r="H23" s="8"/>
      <c r="I23" s="8"/>
      <c r="J23" s="8"/>
      <c r="K23" s="8"/>
      <c r="L23" s="8"/>
      <c r="M23" s="8"/>
      <c r="N23" s="8"/>
      <c r="O23" s="8"/>
      <c r="P23" s="16">
        <f t="shared" si="4"/>
        <v>0</v>
      </c>
    </row>
    <row r="24" spans="2:16" x14ac:dyDescent="0.45">
      <c r="B24" s="32" t="s">
        <v>252</v>
      </c>
      <c r="D24" s="8"/>
      <c r="E24" s="8"/>
      <c r="F24" s="8"/>
      <c r="G24" s="8"/>
      <c r="H24" s="8"/>
      <c r="I24" s="8"/>
      <c r="J24" s="8"/>
      <c r="K24" s="8"/>
      <c r="L24" s="8"/>
      <c r="M24" s="8"/>
      <c r="N24" s="8"/>
      <c r="O24" s="8"/>
      <c r="P24" s="16">
        <f t="shared" si="4"/>
        <v>0</v>
      </c>
    </row>
    <row r="25" spans="2:16" x14ac:dyDescent="0.45">
      <c r="B25" s="10" t="s">
        <v>76</v>
      </c>
      <c r="C25" s="2" t="s">
        <v>77</v>
      </c>
      <c r="D25" s="16">
        <f>IF('1. Startup Costs'!C32&gt;0,-IPMT('1. Startup Costs'!C33/12,1,'1. Startup Costs'!C34*12,'1. Startup Costs'!C32),0)</f>
        <v>0</v>
      </c>
      <c r="E25" s="16">
        <f>IF('1. Startup Costs'!C32&gt;0,-IPMT('1. Startup Costs'!C33/12,2,'1. Startup Costs'!C34*12,'1. Startup Costs'!C32),0)</f>
        <v>0</v>
      </c>
      <c r="F25" s="16">
        <f>IF('1. Startup Costs'!C32&gt;0,-IPMT('1. Startup Costs'!C33/12,3,'1. Startup Costs'!C34*12,'1. Startup Costs'!C32),0)</f>
        <v>0</v>
      </c>
      <c r="G25" s="16">
        <f>IF('1. Startup Costs'!C32&gt;0,-IPMT('1. Startup Costs'!C33/12,4,'1. Startup Costs'!C34*12,'1. Startup Costs'!C32),0)</f>
        <v>0</v>
      </c>
      <c r="H25" s="16">
        <f>IF('1. Startup Costs'!C32&gt;0,-IPMT('1. Startup Costs'!C33/12,5,'1. Startup Costs'!C34*12,'1. Startup Costs'!C32),0)</f>
        <v>0</v>
      </c>
      <c r="I25" s="16">
        <f>IF('1. Startup Costs'!C32&gt;0,-IPMT('1. Startup Costs'!C33/12,6,'1. Startup Costs'!C34*12,'1. Startup Costs'!C32),0)</f>
        <v>0</v>
      </c>
      <c r="J25" s="16">
        <f>IF('1. Startup Costs'!C32&gt;0,-IPMT('1. Startup Costs'!C33/12,7,'1. Startup Costs'!C34*12,'1. Startup Costs'!C32),0)</f>
        <v>0</v>
      </c>
      <c r="K25" s="16">
        <f>IF('1. Startup Costs'!C32&gt;0,-IPMT('1. Startup Costs'!C33/12,8,'1. Startup Costs'!C34*12,'1. Startup Costs'!C32),0)</f>
        <v>0</v>
      </c>
      <c r="L25" s="16">
        <f>IF('1. Startup Costs'!C32&gt;0,-IPMT('1. Startup Costs'!C33/12,9,'1. Startup Costs'!C34*12,'1. Startup Costs'!C32),0)</f>
        <v>0</v>
      </c>
      <c r="M25" s="16">
        <f>IF('1. Startup Costs'!C32&gt;0,-IPMT('1. Startup Costs'!C33/12,10,'1. Startup Costs'!C34*12,'1. Startup Costs'!C32),0)</f>
        <v>0</v>
      </c>
      <c r="N25" s="16">
        <f>IF('1. Startup Costs'!C32&gt;0,-IPMT('1. Startup Costs'!C33/12,11,'1. Startup Costs'!C34*12,'1. Startup Costs'!C32),0)</f>
        <v>0</v>
      </c>
      <c r="O25" s="16">
        <f>IF('1. Startup Costs'!C32&gt;0,-IPMT('1. Startup Costs'!C33/12,12,'1. Startup Costs'!C34*12,'1. Startup Costs'!C32),0)</f>
        <v>0</v>
      </c>
      <c r="P25" s="16">
        <f t="shared" si="4"/>
        <v>0</v>
      </c>
    </row>
    <row r="26" spans="2:16" x14ac:dyDescent="0.45">
      <c r="B26" s="32" t="s">
        <v>26</v>
      </c>
      <c r="D26" s="8"/>
      <c r="E26" s="8"/>
      <c r="F26" s="8"/>
      <c r="G26" s="8"/>
      <c r="H26" s="8"/>
      <c r="I26" s="8"/>
      <c r="J26" s="8"/>
      <c r="K26" s="8"/>
      <c r="L26" s="8"/>
      <c r="M26" s="8"/>
      <c r="N26" s="8"/>
      <c r="O26" s="8"/>
      <c r="P26" s="16">
        <f t="shared" si="4"/>
        <v>0</v>
      </c>
    </row>
    <row r="27" spans="2:16" x14ac:dyDescent="0.45">
      <c r="B27" s="7" t="s">
        <v>26</v>
      </c>
      <c r="D27" s="8"/>
      <c r="E27" s="8"/>
      <c r="F27" s="8"/>
      <c r="G27" s="8"/>
      <c r="H27" s="8"/>
      <c r="I27" s="8"/>
      <c r="J27" s="8"/>
      <c r="K27" s="8"/>
      <c r="L27" s="8"/>
      <c r="M27" s="8"/>
      <c r="N27" s="8"/>
      <c r="O27" s="8"/>
      <c r="P27" s="16">
        <f t="shared" si="4"/>
        <v>0</v>
      </c>
    </row>
    <row r="28" spans="2:16" x14ac:dyDescent="0.45">
      <c r="B28" s="3" t="s">
        <v>78</v>
      </c>
      <c r="D28" s="1">
        <f t="shared" ref="D28:O28" si="5">SUM(D18:D27)</f>
        <v>0</v>
      </c>
      <c r="E28" s="1">
        <f t="shared" si="5"/>
        <v>0</v>
      </c>
      <c r="F28" s="1">
        <f t="shared" si="5"/>
        <v>0</v>
      </c>
      <c r="G28" s="1">
        <f t="shared" si="5"/>
        <v>0</v>
      </c>
      <c r="H28" s="1">
        <f t="shared" si="5"/>
        <v>0</v>
      </c>
      <c r="I28" s="1">
        <f t="shared" si="5"/>
        <v>0</v>
      </c>
      <c r="J28" s="1">
        <f t="shared" si="5"/>
        <v>0</v>
      </c>
      <c r="K28" s="1">
        <f t="shared" si="5"/>
        <v>0</v>
      </c>
      <c r="L28" s="1">
        <f t="shared" si="5"/>
        <v>0</v>
      </c>
      <c r="M28" s="1">
        <f t="shared" si="5"/>
        <v>0</v>
      </c>
      <c r="N28" s="1">
        <f t="shared" si="5"/>
        <v>0</v>
      </c>
      <c r="O28" s="1">
        <f t="shared" si="5"/>
        <v>0</v>
      </c>
      <c r="P28" s="1">
        <f t="shared" si="4"/>
        <v>0</v>
      </c>
    </row>
    <row r="29" spans="2:16" ht="6" customHeight="1" x14ac:dyDescent="0.45"/>
    <row r="30" spans="2:16" ht="18" customHeight="1" x14ac:dyDescent="0.45">
      <c r="B30" s="3" t="s">
        <v>79</v>
      </c>
      <c r="D30" s="1">
        <f t="shared" ref="D30:O30" si="6">D15+D28</f>
        <v>0</v>
      </c>
      <c r="E30" s="1">
        <f t="shared" si="6"/>
        <v>0</v>
      </c>
      <c r="F30" s="1">
        <f t="shared" si="6"/>
        <v>0</v>
      </c>
      <c r="G30" s="1">
        <f t="shared" si="6"/>
        <v>0</v>
      </c>
      <c r="H30" s="1">
        <f t="shared" si="6"/>
        <v>0</v>
      </c>
      <c r="I30" s="1">
        <f t="shared" si="6"/>
        <v>0</v>
      </c>
      <c r="J30" s="1">
        <f t="shared" si="6"/>
        <v>0</v>
      </c>
      <c r="K30" s="1">
        <f t="shared" si="6"/>
        <v>0</v>
      </c>
      <c r="L30" s="1">
        <f t="shared" si="6"/>
        <v>0</v>
      </c>
      <c r="M30" s="1">
        <f t="shared" si="6"/>
        <v>0</v>
      </c>
      <c r="N30" s="1">
        <f t="shared" si="6"/>
        <v>0</v>
      </c>
      <c r="O30" s="1">
        <f t="shared" si="6"/>
        <v>0</v>
      </c>
      <c r="P30" s="9">
        <f>SUM(D30:O30)</f>
        <v>0</v>
      </c>
    </row>
    <row r="31" spans="2:16" ht="7.5" customHeight="1" x14ac:dyDescent="0.45"/>
    <row r="32" spans="2:16" ht="21.75" customHeight="1" x14ac:dyDescent="0.45">
      <c r="B32" s="41" t="s">
        <v>80</v>
      </c>
      <c r="C32" s="41"/>
      <c r="D32" s="41"/>
      <c r="E32" s="41"/>
      <c r="F32" s="41"/>
      <c r="G32" s="41"/>
      <c r="H32" s="41"/>
      <c r="I32" s="41"/>
      <c r="J32" s="41"/>
      <c r="K32" s="41"/>
      <c r="L32" s="41"/>
      <c r="M32" s="41"/>
      <c r="N32" s="41"/>
      <c r="O32" s="41"/>
      <c r="P32" s="41"/>
    </row>
    <row r="33" spans="2:16" x14ac:dyDescent="0.45">
      <c r="B33" s="7" t="s">
        <v>81</v>
      </c>
      <c r="D33" s="8"/>
      <c r="E33" s="8"/>
      <c r="F33" s="8"/>
      <c r="G33" s="8"/>
      <c r="H33" s="8"/>
      <c r="I33" s="8"/>
      <c r="J33" s="8"/>
      <c r="K33" s="8"/>
      <c r="L33" s="8"/>
      <c r="M33" s="8"/>
      <c r="N33" s="8"/>
      <c r="O33" s="8"/>
      <c r="P33" s="16">
        <f>SUM(D33:O33)</f>
        <v>0</v>
      </c>
    </row>
    <row r="34" spans="2:16" ht="30" customHeight="1" x14ac:dyDescent="0.45">
      <c r="B34" s="51" t="s">
        <v>82</v>
      </c>
      <c r="C34" s="51"/>
      <c r="D34" s="51"/>
      <c r="E34" s="51"/>
      <c r="F34" s="51"/>
      <c r="G34" s="51"/>
      <c r="H34" s="51"/>
      <c r="I34" s="51"/>
      <c r="J34" s="51"/>
      <c r="K34" s="51"/>
      <c r="L34" s="51"/>
      <c r="M34" s="51"/>
      <c r="N34" s="51"/>
      <c r="O34" s="51"/>
    </row>
  </sheetData>
  <sheetProtection sheet="1" formatCells="0" insertRows="0"/>
  <mergeCells count="7">
    <mergeCell ref="B32:P32"/>
    <mergeCell ref="B34:O34"/>
    <mergeCell ref="B1:P1"/>
    <mergeCell ref="B2:P2"/>
    <mergeCell ref="B4:P4"/>
    <mergeCell ref="B7:P7"/>
    <mergeCell ref="B17:P17"/>
  </mergeCells>
  <pageMargins left="0.4" right="0.4" top="0.55000000000000004" bottom="0.3" header="0.511811023622047" footer="0.511811023622047"/>
  <pageSetup paperSize="5" scale="99" fitToHeight="0"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18"/>
  <sheetViews>
    <sheetView showGridLines="0" zoomScaleNormal="100" workbookViewId="0">
      <pane xSplit="3" ySplit="4" topLeftCell="D5" activePane="bottomRight" state="frozen"/>
      <selection pane="topRight" activeCell="D1" sqref="D1"/>
      <selection pane="bottomLeft" activeCell="A5" sqref="A5"/>
      <selection pane="bottomRight" activeCell="S1" sqref="S1"/>
    </sheetView>
  </sheetViews>
  <sheetFormatPr defaultColWidth="8.6640625" defaultRowHeight="14.25" x14ac:dyDescent="0.45"/>
  <cols>
    <col min="1" max="1" width="0.33203125" customWidth="1"/>
    <col min="2" max="2" width="36" customWidth="1"/>
    <col min="3" max="3" width="2" customWidth="1"/>
    <col min="4" max="15" width="9.53125" customWidth="1"/>
    <col min="16" max="16" width="13" customWidth="1"/>
  </cols>
  <sheetData>
    <row r="1" spans="2:16" ht="43.5" customHeight="1" x14ac:dyDescent="0.45">
      <c r="B1" s="52" t="s">
        <v>83</v>
      </c>
      <c r="C1" s="46"/>
      <c r="D1" s="46"/>
      <c r="E1" s="46"/>
      <c r="F1" s="46"/>
      <c r="G1" s="46"/>
      <c r="H1" s="46"/>
      <c r="I1" s="46"/>
      <c r="J1" s="46"/>
      <c r="K1" s="46"/>
      <c r="L1" s="46"/>
      <c r="M1" s="46"/>
      <c r="N1" s="46"/>
      <c r="O1" s="46"/>
      <c r="P1" s="46"/>
    </row>
    <row r="2" spans="2:16" ht="31.5" customHeight="1" x14ac:dyDescent="0.45">
      <c r="B2" s="47" t="s">
        <v>236</v>
      </c>
      <c r="C2" s="48"/>
      <c r="D2" s="48"/>
      <c r="E2" s="48"/>
      <c r="F2" s="48"/>
      <c r="G2" s="48"/>
      <c r="H2" s="48"/>
      <c r="I2" s="48"/>
      <c r="J2" s="48"/>
      <c r="K2" s="48"/>
      <c r="L2" s="48"/>
      <c r="M2" s="48"/>
      <c r="N2" s="48"/>
      <c r="O2" s="48"/>
      <c r="P2" s="48"/>
    </row>
    <row r="3" spans="2:16" ht="7.5" customHeight="1" x14ac:dyDescent="0.45"/>
    <row r="4" spans="2:16" ht="24" customHeight="1" x14ac:dyDescent="0.45">
      <c r="B4" s="5" t="s">
        <v>84</v>
      </c>
      <c r="C4" s="13"/>
      <c r="D4" s="14" t="s">
        <v>52</v>
      </c>
      <c r="E4" s="14" t="s">
        <v>53</v>
      </c>
      <c r="F4" s="14" t="s">
        <v>54</v>
      </c>
      <c r="G4" s="14" t="s">
        <v>55</v>
      </c>
      <c r="H4" s="14" t="s">
        <v>56</v>
      </c>
      <c r="I4" s="14" t="s">
        <v>57</v>
      </c>
      <c r="J4" s="14" t="s">
        <v>58</v>
      </c>
      <c r="K4" s="14" t="s">
        <v>59</v>
      </c>
      <c r="L4" s="14" t="s">
        <v>60</v>
      </c>
      <c r="M4" s="14" t="s">
        <v>61</v>
      </c>
      <c r="N4" s="14" t="s">
        <v>62</v>
      </c>
      <c r="O4" s="14" t="s">
        <v>63</v>
      </c>
      <c r="P4" s="15" t="s">
        <v>64</v>
      </c>
    </row>
    <row r="5" spans="2:16" x14ac:dyDescent="0.45">
      <c r="B5" s="10" t="s">
        <v>85</v>
      </c>
      <c r="D5" s="16">
        <f>0</f>
        <v>0</v>
      </c>
      <c r="E5" s="16">
        <f t="shared" ref="E5:O5" si="0">D15</f>
        <v>0</v>
      </c>
      <c r="F5" s="16">
        <f t="shared" si="0"/>
        <v>0</v>
      </c>
      <c r="G5" s="16">
        <f t="shared" si="0"/>
        <v>0</v>
      </c>
      <c r="H5" s="16">
        <f t="shared" si="0"/>
        <v>0</v>
      </c>
      <c r="I5" s="16">
        <f t="shared" si="0"/>
        <v>0</v>
      </c>
      <c r="J5" s="16">
        <f t="shared" si="0"/>
        <v>0</v>
      </c>
      <c r="K5" s="16">
        <f t="shared" si="0"/>
        <v>0</v>
      </c>
      <c r="L5" s="16">
        <f t="shared" si="0"/>
        <v>0</v>
      </c>
      <c r="M5" s="16">
        <f t="shared" si="0"/>
        <v>0</v>
      </c>
      <c r="N5" s="16">
        <f t="shared" si="0"/>
        <v>0</v>
      </c>
      <c r="O5" s="16">
        <f t="shared" si="0"/>
        <v>0</v>
      </c>
    </row>
    <row r="6" spans="2:16" x14ac:dyDescent="0.45">
      <c r="B6" s="10" t="s">
        <v>86</v>
      </c>
      <c r="D6" s="16">
        <f>'1. Startup Costs'!C31</f>
        <v>0</v>
      </c>
      <c r="E6" s="16">
        <f>0</f>
        <v>0</v>
      </c>
      <c r="F6" s="16">
        <f>0</f>
        <v>0</v>
      </c>
      <c r="G6" s="16">
        <f>0</f>
        <v>0</v>
      </c>
      <c r="H6" s="16">
        <f>0</f>
        <v>0</v>
      </c>
      <c r="I6" s="16">
        <f>0</f>
        <v>0</v>
      </c>
      <c r="J6" s="16">
        <f>0</f>
        <v>0</v>
      </c>
      <c r="K6" s="16">
        <f>0</f>
        <v>0</v>
      </c>
      <c r="L6" s="16">
        <f>0</f>
        <v>0</v>
      </c>
      <c r="M6" s="16">
        <f>0</f>
        <v>0</v>
      </c>
      <c r="N6" s="16">
        <f>0</f>
        <v>0</v>
      </c>
      <c r="O6" s="16">
        <f>0</f>
        <v>0</v>
      </c>
    </row>
    <row r="7" spans="2:16" x14ac:dyDescent="0.45">
      <c r="B7" s="10" t="s">
        <v>87</v>
      </c>
      <c r="D7" s="16">
        <f>'1. Startup Costs'!C32</f>
        <v>0</v>
      </c>
      <c r="E7" s="16">
        <f>0</f>
        <v>0</v>
      </c>
      <c r="F7" s="16">
        <f>0</f>
        <v>0</v>
      </c>
      <c r="G7" s="16">
        <f>0</f>
        <v>0</v>
      </c>
      <c r="H7" s="16">
        <f>0</f>
        <v>0</v>
      </c>
      <c r="I7" s="16">
        <f>0</f>
        <v>0</v>
      </c>
      <c r="J7" s="16">
        <f>0</f>
        <v>0</v>
      </c>
      <c r="K7" s="16">
        <f>0</f>
        <v>0</v>
      </c>
      <c r="L7" s="16">
        <f>0</f>
        <v>0</v>
      </c>
      <c r="M7" s="16">
        <f>0</f>
        <v>0</v>
      </c>
      <c r="N7" s="16">
        <f>0</f>
        <v>0</v>
      </c>
      <c r="O7" s="16">
        <f>0</f>
        <v>0</v>
      </c>
    </row>
    <row r="8" spans="2:16" x14ac:dyDescent="0.45">
      <c r="B8" s="10" t="s">
        <v>88</v>
      </c>
      <c r="D8" s="16">
        <f>IF(PayTiming="Net 30",0,'2. Sales Forecast'!D11)</f>
        <v>0</v>
      </c>
      <c r="E8" s="16">
        <f>IF(PayTiming="Net 30",'2. Sales Forecast'!D11,'2. Sales Forecast'!E11)</f>
        <v>0</v>
      </c>
      <c r="F8" s="16">
        <f>IF(PayTiming="Net 30",'2. Sales Forecast'!E11,'2. Sales Forecast'!F11)</f>
        <v>0</v>
      </c>
      <c r="G8" s="16">
        <f>IF(PayTiming="Net 30",'2. Sales Forecast'!F11,'2. Sales Forecast'!G11)</f>
        <v>0</v>
      </c>
      <c r="H8" s="16">
        <f>IF(PayTiming="Net 30",'2. Sales Forecast'!G11,'2. Sales Forecast'!H11)</f>
        <v>0</v>
      </c>
      <c r="I8" s="16">
        <f>IF(PayTiming="Net 30",'2. Sales Forecast'!H11,'2. Sales Forecast'!I11)</f>
        <v>0</v>
      </c>
      <c r="J8" s="16">
        <f>IF(PayTiming="Net 30",'2. Sales Forecast'!I11,'2. Sales Forecast'!J11)</f>
        <v>0</v>
      </c>
      <c r="K8" s="16">
        <f>IF(PayTiming="Net 30",'2. Sales Forecast'!J11,'2. Sales Forecast'!K11)</f>
        <v>0</v>
      </c>
      <c r="L8" s="16">
        <f>IF(PayTiming="Net 30",'2. Sales Forecast'!K11,'2. Sales Forecast'!L11)</f>
        <v>0</v>
      </c>
      <c r="M8" s="16">
        <f>IF(PayTiming="Net 30",'2. Sales Forecast'!L11,'2. Sales Forecast'!M11)</f>
        <v>0</v>
      </c>
      <c r="N8" s="16">
        <f>IF(PayTiming="Net 30",'2. Sales Forecast'!M11,'2. Sales Forecast'!N11)</f>
        <v>0</v>
      </c>
      <c r="O8" s="16">
        <f>IF(PayTiming="Net 30",'2. Sales Forecast'!N11,'2. Sales Forecast'!O11)</f>
        <v>0</v>
      </c>
      <c r="P8" s="16">
        <f>SUM(D8:O8)</f>
        <v>0</v>
      </c>
    </row>
    <row r="9" spans="2:16" x14ac:dyDescent="0.45">
      <c r="B9" s="3" t="s">
        <v>89</v>
      </c>
      <c r="D9" s="1">
        <f t="shared" ref="D9:O9" si="1">SUM(D6:D8)</f>
        <v>0</v>
      </c>
      <c r="E9" s="1">
        <f t="shared" si="1"/>
        <v>0</v>
      </c>
      <c r="F9" s="1">
        <f t="shared" si="1"/>
        <v>0</v>
      </c>
      <c r="G9" s="1">
        <f t="shared" si="1"/>
        <v>0</v>
      </c>
      <c r="H9" s="1">
        <f t="shared" si="1"/>
        <v>0</v>
      </c>
      <c r="I9" s="1">
        <f t="shared" si="1"/>
        <v>0</v>
      </c>
      <c r="J9" s="1">
        <f t="shared" si="1"/>
        <v>0</v>
      </c>
      <c r="K9" s="1">
        <f t="shared" si="1"/>
        <v>0</v>
      </c>
      <c r="L9" s="1">
        <f t="shared" si="1"/>
        <v>0</v>
      </c>
      <c r="M9" s="1">
        <f t="shared" si="1"/>
        <v>0</v>
      </c>
      <c r="N9" s="1">
        <f t="shared" si="1"/>
        <v>0</v>
      </c>
      <c r="O9" s="1">
        <f t="shared" si="1"/>
        <v>0</v>
      </c>
    </row>
    <row r="10" spans="2:16" x14ac:dyDescent="0.45">
      <c r="B10" s="10" t="s">
        <v>90</v>
      </c>
      <c r="D10" s="16">
        <f>'1. Startup Costs'!C14+'1. Startup Costs'!C23</f>
        <v>0</v>
      </c>
      <c r="E10" s="16">
        <f>0</f>
        <v>0</v>
      </c>
      <c r="F10" s="16">
        <f>0</f>
        <v>0</v>
      </c>
      <c r="G10" s="16">
        <f>0</f>
        <v>0</v>
      </c>
      <c r="H10" s="16">
        <f>0</f>
        <v>0</v>
      </c>
      <c r="I10" s="16">
        <f>0</f>
        <v>0</v>
      </c>
      <c r="J10" s="16">
        <f>0</f>
        <v>0</v>
      </c>
      <c r="K10" s="16">
        <f>0</f>
        <v>0</v>
      </c>
      <c r="L10" s="16">
        <f>0</f>
        <v>0</v>
      </c>
      <c r="M10" s="16">
        <f>0</f>
        <v>0</v>
      </c>
      <c r="N10" s="16">
        <f>0</f>
        <v>0</v>
      </c>
      <c r="O10" s="16">
        <f>0</f>
        <v>0</v>
      </c>
    </row>
    <row r="11" spans="2:16" x14ac:dyDescent="0.45">
      <c r="B11" s="10" t="s">
        <v>91</v>
      </c>
      <c r="D11" s="16">
        <f>'3. Monthly Expenses'!D30-'3. Monthly Expenses'!D25</f>
        <v>0</v>
      </c>
      <c r="E11" s="16">
        <f>'3. Monthly Expenses'!E30-'3. Monthly Expenses'!E25</f>
        <v>0</v>
      </c>
      <c r="F11" s="16">
        <f>'3. Monthly Expenses'!F30-'3. Monthly Expenses'!F25</f>
        <v>0</v>
      </c>
      <c r="G11" s="16">
        <f>'3. Monthly Expenses'!G30-'3. Monthly Expenses'!G25</f>
        <v>0</v>
      </c>
      <c r="H11" s="16">
        <f>'3. Monthly Expenses'!H30-'3. Monthly Expenses'!H25</f>
        <v>0</v>
      </c>
      <c r="I11" s="16">
        <f>'3. Monthly Expenses'!I30-'3. Monthly Expenses'!I25</f>
        <v>0</v>
      </c>
      <c r="J11" s="16">
        <f>'3. Monthly Expenses'!J30-'3. Monthly Expenses'!J25</f>
        <v>0</v>
      </c>
      <c r="K11" s="16">
        <f>'3. Monthly Expenses'!K30-'3. Monthly Expenses'!K25</f>
        <v>0</v>
      </c>
      <c r="L11" s="16">
        <f>'3. Monthly Expenses'!L30-'3. Monthly Expenses'!L25</f>
        <v>0</v>
      </c>
      <c r="M11" s="16">
        <f>'3. Monthly Expenses'!M30-'3. Monthly Expenses'!M25</f>
        <v>0</v>
      </c>
      <c r="N11" s="16">
        <f>'3. Monthly Expenses'!N30-'3. Monthly Expenses'!N25</f>
        <v>0</v>
      </c>
      <c r="O11" s="16">
        <f>'3. Monthly Expenses'!O30-'3. Monthly Expenses'!O25</f>
        <v>0</v>
      </c>
    </row>
    <row r="12" spans="2:16" x14ac:dyDescent="0.45">
      <c r="B12" s="10" t="s">
        <v>92</v>
      </c>
      <c r="D12" s="16">
        <f>IF('1. Startup Costs'!C32&gt;0,'1. Startup Costs'!C38,0)</f>
        <v>0</v>
      </c>
      <c r="E12" s="16">
        <f>IF('1. Startup Costs'!C32&gt;0,'1. Startup Costs'!C38,0)</f>
        <v>0</v>
      </c>
      <c r="F12" s="16">
        <f>IF('1. Startup Costs'!C32&gt;0,'1. Startup Costs'!C38,0)</f>
        <v>0</v>
      </c>
      <c r="G12" s="16">
        <f>IF('1. Startup Costs'!C32&gt;0,'1. Startup Costs'!C38,0)</f>
        <v>0</v>
      </c>
      <c r="H12" s="16">
        <f>IF('1. Startup Costs'!C32&gt;0,'1. Startup Costs'!C38,0)</f>
        <v>0</v>
      </c>
      <c r="I12" s="16">
        <f>IF('1. Startup Costs'!C32&gt;0,'1. Startup Costs'!C38,0)</f>
        <v>0</v>
      </c>
      <c r="J12" s="16">
        <f>IF('1. Startup Costs'!C32&gt;0,'1. Startup Costs'!C38,0)</f>
        <v>0</v>
      </c>
      <c r="K12" s="16">
        <f>IF('1. Startup Costs'!C32&gt;0,'1. Startup Costs'!C38,0)</f>
        <v>0</v>
      </c>
      <c r="L12" s="16">
        <f>IF('1. Startup Costs'!C32&gt;0,'1. Startup Costs'!C38,0)</f>
        <v>0</v>
      </c>
      <c r="M12" s="16">
        <f>IF('1. Startup Costs'!C32&gt;0,'1. Startup Costs'!C38,0)</f>
        <v>0</v>
      </c>
      <c r="N12" s="16">
        <f>IF('1. Startup Costs'!C32&gt;0,'1. Startup Costs'!C38,0)</f>
        <v>0</v>
      </c>
      <c r="O12" s="16">
        <f>IF('1. Startup Costs'!C32&gt;0,'1. Startup Costs'!C38,0)</f>
        <v>0</v>
      </c>
    </row>
    <row r="13" spans="2:16" x14ac:dyDescent="0.45">
      <c r="B13" s="10" t="s">
        <v>93</v>
      </c>
      <c r="D13" s="16">
        <f>'3. Monthly Expenses'!D33</f>
        <v>0</v>
      </c>
      <c r="E13" s="16">
        <f>'3. Monthly Expenses'!E33</f>
        <v>0</v>
      </c>
      <c r="F13" s="16">
        <f>'3. Monthly Expenses'!F33</f>
        <v>0</v>
      </c>
      <c r="G13" s="16">
        <f>'3. Monthly Expenses'!G33</f>
        <v>0</v>
      </c>
      <c r="H13" s="16">
        <f>'3. Monthly Expenses'!H33</f>
        <v>0</v>
      </c>
      <c r="I13" s="16">
        <f>'3. Monthly Expenses'!I33</f>
        <v>0</v>
      </c>
      <c r="J13" s="16">
        <f>'3. Monthly Expenses'!J33</f>
        <v>0</v>
      </c>
      <c r="K13" s="16">
        <f>'3. Monthly Expenses'!K33</f>
        <v>0</v>
      </c>
      <c r="L13" s="16">
        <f>'3. Monthly Expenses'!L33</f>
        <v>0</v>
      </c>
      <c r="M13" s="16">
        <f>'3. Monthly Expenses'!M33</f>
        <v>0</v>
      </c>
      <c r="N13" s="16">
        <f>'3. Monthly Expenses'!N33</f>
        <v>0</v>
      </c>
      <c r="O13" s="16">
        <f>'3. Monthly Expenses'!O33</f>
        <v>0</v>
      </c>
    </row>
    <row r="14" spans="2:16" x14ac:dyDescent="0.45">
      <c r="B14" s="3" t="s">
        <v>94</v>
      </c>
      <c r="D14" s="1">
        <f t="shared" ref="D14:O14" si="2">SUM(D10:D13)</f>
        <v>0</v>
      </c>
      <c r="E14" s="1">
        <f t="shared" si="2"/>
        <v>0</v>
      </c>
      <c r="F14" s="1">
        <f t="shared" si="2"/>
        <v>0</v>
      </c>
      <c r="G14" s="1">
        <f t="shared" si="2"/>
        <v>0</v>
      </c>
      <c r="H14" s="1">
        <f t="shared" si="2"/>
        <v>0</v>
      </c>
      <c r="I14" s="1">
        <f t="shared" si="2"/>
        <v>0</v>
      </c>
      <c r="J14" s="1">
        <f t="shared" si="2"/>
        <v>0</v>
      </c>
      <c r="K14" s="1">
        <f t="shared" si="2"/>
        <v>0</v>
      </c>
      <c r="L14" s="1">
        <f t="shared" si="2"/>
        <v>0</v>
      </c>
      <c r="M14" s="1">
        <f t="shared" si="2"/>
        <v>0</v>
      </c>
      <c r="N14" s="1">
        <f t="shared" si="2"/>
        <v>0</v>
      </c>
      <c r="O14" s="1">
        <f t="shared" si="2"/>
        <v>0</v>
      </c>
    </row>
    <row r="15" spans="2:16" ht="18" customHeight="1" x14ac:dyDescent="0.45">
      <c r="B15" s="3" t="s">
        <v>95</v>
      </c>
      <c r="D15" s="1">
        <f t="shared" ref="D15:O15" si="3">D5+D9-D14</f>
        <v>0</v>
      </c>
      <c r="E15" s="1">
        <f t="shared" si="3"/>
        <v>0</v>
      </c>
      <c r="F15" s="1">
        <f t="shared" si="3"/>
        <v>0</v>
      </c>
      <c r="G15" s="1">
        <f t="shared" si="3"/>
        <v>0</v>
      </c>
      <c r="H15" s="1">
        <f t="shared" si="3"/>
        <v>0</v>
      </c>
      <c r="I15" s="1">
        <f t="shared" si="3"/>
        <v>0</v>
      </c>
      <c r="J15" s="1">
        <f t="shared" si="3"/>
        <v>0</v>
      </c>
      <c r="K15" s="1">
        <f t="shared" si="3"/>
        <v>0</v>
      </c>
      <c r="L15" s="1">
        <f t="shared" si="3"/>
        <v>0</v>
      </c>
      <c r="M15" s="1">
        <f t="shared" si="3"/>
        <v>0</v>
      </c>
      <c r="N15" s="1">
        <f t="shared" si="3"/>
        <v>0</v>
      </c>
      <c r="O15" s="1">
        <f t="shared" si="3"/>
        <v>0</v>
      </c>
    </row>
    <row r="16" spans="2:16" ht="6" customHeight="1" x14ac:dyDescent="0.45"/>
    <row r="17" spans="2:15" x14ac:dyDescent="0.45">
      <c r="B17" s="3" t="s">
        <v>96</v>
      </c>
      <c r="D17" s="53">
        <f>MIN(D15:O15)</f>
        <v>0</v>
      </c>
      <c r="E17" s="53"/>
    </row>
    <row r="18" spans="2:15" hidden="1" x14ac:dyDescent="0.45">
      <c r="D18">
        <f>IF(D15&lt;0,1,9999)</f>
        <v>9999</v>
      </c>
      <c r="E18">
        <f>IF(E15&lt;0,2,9999)</f>
        <v>9999</v>
      </c>
      <c r="F18">
        <f>IF(F15&lt;0,3,9999)</f>
        <v>9999</v>
      </c>
      <c r="G18">
        <f>IF(G15&lt;0,4,9999)</f>
        <v>9999</v>
      </c>
      <c r="H18">
        <f>IF(H15&lt;0,5,9999)</f>
        <v>9999</v>
      </c>
      <c r="I18">
        <f>IF(I15&lt;0,6,9999)</f>
        <v>9999</v>
      </c>
      <c r="J18">
        <f>IF(J15&lt;0,7,9999)</f>
        <v>9999</v>
      </c>
      <c r="K18">
        <f>IF(K15&lt;0,8,9999)</f>
        <v>9999</v>
      </c>
      <c r="L18">
        <f>IF(L15&lt;0,9,9999)</f>
        <v>9999</v>
      </c>
      <c r="M18">
        <f>IF(M15&lt;0,10,9999)</f>
        <v>9999</v>
      </c>
      <c r="N18">
        <f>IF(N15&lt;0,11,9999)</f>
        <v>9999</v>
      </c>
      <c r="O18">
        <f>IF(O15&lt;0,12,9999)</f>
        <v>9999</v>
      </c>
    </row>
  </sheetData>
  <sheetProtection sheet="1" formatCells="0"/>
  <mergeCells count="3">
    <mergeCell ref="B1:P1"/>
    <mergeCell ref="B2:P2"/>
    <mergeCell ref="D17:E17"/>
  </mergeCells>
  <conditionalFormatting sqref="D17:E17">
    <cfRule type="cellIs" dxfId="3" priority="3" operator="lessThan">
      <formula>0</formula>
    </cfRule>
  </conditionalFormatting>
  <conditionalFormatting sqref="D15:O15">
    <cfRule type="cellIs" dxfId="2" priority="2" operator="lessThan">
      <formula>0</formula>
    </cfRule>
  </conditionalFormatting>
  <pageMargins left="0.5" right="0.25" top="0.75" bottom="0.75" header="0.3" footer="0.3"/>
  <pageSetup paperSize="5"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E24"/>
  <sheetViews>
    <sheetView showGridLines="0" zoomScaleNormal="100" workbookViewId="0">
      <selection activeCell="J16" sqref="J16"/>
    </sheetView>
  </sheetViews>
  <sheetFormatPr defaultColWidth="8.6640625" defaultRowHeight="14.25" x14ac:dyDescent="0.45"/>
  <cols>
    <col min="1" max="1" width="0.33203125" customWidth="1"/>
    <col min="2" max="2" width="46" customWidth="1"/>
    <col min="3" max="3" width="15" customWidth="1"/>
    <col min="4" max="4" width="11" customWidth="1"/>
    <col min="5" max="5" width="40" customWidth="1"/>
  </cols>
  <sheetData>
    <row r="1" spans="2:5" ht="43.5" customHeight="1" x14ac:dyDescent="0.45">
      <c r="B1" s="46" t="s">
        <v>97</v>
      </c>
      <c r="C1" s="46"/>
      <c r="D1" s="46"/>
      <c r="E1" s="46"/>
    </row>
    <row r="2" spans="2:5" ht="31.5" customHeight="1" x14ac:dyDescent="0.45">
      <c r="B2" s="47" t="s">
        <v>237</v>
      </c>
      <c r="C2" s="48"/>
      <c r="D2" s="48"/>
      <c r="E2" s="48"/>
    </row>
    <row r="3" spans="2:5" ht="7.5" customHeight="1" x14ac:dyDescent="0.45"/>
    <row r="4" spans="2:5" ht="18" customHeight="1" x14ac:dyDescent="0.45">
      <c r="B4" s="5" t="s">
        <v>98</v>
      </c>
      <c r="C4" s="6" t="s">
        <v>99</v>
      </c>
      <c r="D4" s="6" t="s">
        <v>100</v>
      </c>
      <c r="E4" s="5"/>
    </row>
    <row r="5" spans="2:5" ht="21.75" customHeight="1" x14ac:dyDescent="0.45">
      <c r="B5" s="41" t="s">
        <v>101</v>
      </c>
      <c r="C5" s="41"/>
      <c r="D5" s="41"/>
      <c r="E5" s="41"/>
    </row>
    <row r="6" spans="2:5" x14ac:dyDescent="0.45">
      <c r="B6" s="10" t="s">
        <v>102</v>
      </c>
      <c r="C6" s="16">
        <f>'2. Sales Forecast'!$P$11</f>
        <v>0</v>
      </c>
      <c r="D6" s="17">
        <v>1</v>
      </c>
    </row>
    <row r="7" spans="2:5" ht="3.75" customHeight="1" x14ac:dyDescent="0.45"/>
    <row r="8" spans="2:5" ht="21.75" customHeight="1" x14ac:dyDescent="0.45">
      <c r="B8" s="41" t="s">
        <v>71</v>
      </c>
      <c r="C8" s="41"/>
      <c r="D8" s="41"/>
      <c r="E8" s="41"/>
    </row>
    <row r="9" spans="2:5" x14ac:dyDescent="0.45">
      <c r="B9" s="10" t="s">
        <v>103</v>
      </c>
      <c r="C9" s="16">
        <f>('3. Monthly Expenses'!$P$8+'3. Monthly Expenses'!$P$9+'3. Monthly Expenses'!$P$10)</f>
        <v>0</v>
      </c>
      <c r="D9" s="17">
        <f>IFERROR(C9/C6,0)</f>
        <v>0</v>
      </c>
    </row>
    <row r="10" spans="2:5" x14ac:dyDescent="0.45">
      <c r="B10" s="10" t="s">
        <v>104</v>
      </c>
      <c r="C10" s="16">
        <f>'3. Monthly Expenses'!$P$15-('3. Monthly Expenses'!$P$8+'3. Monthly Expenses'!$P$9+'3. Monthly Expenses'!$P$10)</f>
        <v>0</v>
      </c>
      <c r="D10" s="17">
        <f>IFERROR(C10/C6,0)</f>
        <v>0</v>
      </c>
    </row>
    <row r="11" spans="2:5" x14ac:dyDescent="0.45">
      <c r="B11" s="3" t="s">
        <v>105</v>
      </c>
      <c r="C11" s="1">
        <f>'3. Monthly Expenses'!$P$15</f>
        <v>0</v>
      </c>
      <c r="D11" s="17">
        <f>IFERROR(C11/C6,0)</f>
        <v>0</v>
      </c>
    </row>
    <row r="12" spans="2:5" x14ac:dyDescent="0.45">
      <c r="B12" s="3" t="s">
        <v>106</v>
      </c>
      <c r="C12" s="1">
        <f>C6-C11</f>
        <v>0</v>
      </c>
      <c r="D12" s="17">
        <f>IFERROR(C12/C6,0)</f>
        <v>0</v>
      </c>
      <c r="E12" s="2" t="s">
        <v>107</v>
      </c>
    </row>
    <row r="13" spans="2:5" x14ac:dyDescent="0.45">
      <c r="B13" s="18" t="s">
        <v>108</v>
      </c>
      <c r="C13" s="19">
        <f>IFERROR(('3. Monthly Expenses'!$P$8+'3. Monthly Expenses'!$P$9+'3. Monthly Expenses'!$P$10)/C6,0)</f>
        <v>0</v>
      </c>
      <c r="E13" s="33" t="s">
        <v>238</v>
      </c>
    </row>
    <row r="14" spans="2:5" ht="3.75" customHeight="1" x14ac:dyDescent="0.45"/>
    <row r="15" spans="2:5" ht="21.75" customHeight="1" x14ac:dyDescent="0.45">
      <c r="B15" s="41" t="s">
        <v>109</v>
      </c>
      <c r="C15" s="41"/>
      <c r="D15" s="41"/>
      <c r="E15" s="41"/>
    </row>
    <row r="16" spans="2:5" x14ac:dyDescent="0.45">
      <c r="B16" s="10" t="s">
        <v>110</v>
      </c>
      <c r="C16" s="16">
        <f>'3. Monthly Expenses'!$P$28-'3. Monthly Expenses'!$P$25</f>
        <v>0</v>
      </c>
      <c r="D16" s="17">
        <f>IFERROR(C16/C6,0)</f>
        <v>0</v>
      </c>
    </row>
    <row r="17" spans="2:5" x14ac:dyDescent="0.45">
      <c r="B17" s="10" t="s">
        <v>76</v>
      </c>
      <c r="C17" s="16">
        <f>'3. Monthly Expenses'!$P$25</f>
        <v>0</v>
      </c>
      <c r="D17" s="17">
        <f>IFERROR(C17/C6,0)</f>
        <v>0</v>
      </c>
    </row>
    <row r="18" spans="2:5" x14ac:dyDescent="0.45">
      <c r="B18" s="10" t="s">
        <v>111</v>
      </c>
      <c r="C18" s="16">
        <f>'1. Startup Costs'!C23</f>
        <v>0</v>
      </c>
      <c r="D18" s="17">
        <f>IFERROR(C18/C6,0)</f>
        <v>0</v>
      </c>
      <c r="E18" s="2" t="s">
        <v>112</v>
      </c>
    </row>
    <row r="19" spans="2:5" x14ac:dyDescent="0.45">
      <c r="B19" s="3" t="s">
        <v>113</v>
      </c>
      <c r="C19" s="1">
        <f>SUM(C16:C18)</f>
        <v>0</v>
      </c>
      <c r="D19" s="17">
        <f>IFERROR(C19/C6,0)</f>
        <v>0</v>
      </c>
    </row>
    <row r="20" spans="2:5" ht="18" customHeight="1" x14ac:dyDescent="0.45">
      <c r="B20" s="3" t="s">
        <v>114</v>
      </c>
      <c r="C20" s="9">
        <f>C12-C19</f>
        <v>0</v>
      </c>
      <c r="D20" s="20">
        <f>IFERROR(C20/C6,0)</f>
        <v>0</v>
      </c>
    </row>
    <row r="21" spans="2:5" ht="7.5" customHeight="1" x14ac:dyDescent="0.45"/>
    <row r="22" spans="2:5" ht="21.75" customHeight="1" x14ac:dyDescent="0.45">
      <c r="B22" s="41" t="s">
        <v>115</v>
      </c>
      <c r="C22" s="41"/>
      <c r="D22" s="41"/>
      <c r="E22" s="41"/>
    </row>
    <row r="23" spans="2:5" x14ac:dyDescent="0.45">
      <c r="B23" s="10" t="s">
        <v>116</v>
      </c>
      <c r="C23" s="16">
        <f>IF(OR(C6=0,C11&gt;=C6),0,(C16+C17)/12/(1-C11/C6))</f>
        <v>0</v>
      </c>
      <c r="E23" s="2" t="s">
        <v>117</v>
      </c>
    </row>
    <row r="24" spans="2:5" x14ac:dyDescent="0.45">
      <c r="B24" s="10" t="s">
        <v>118</v>
      </c>
      <c r="C24" s="16">
        <f>C6/12</f>
        <v>0</v>
      </c>
      <c r="E24" s="33" t="s">
        <v>239</v>
      </c>
    </row>
  </sheetData>
  <sheetProtection sheet="1" formatCells="0"/>
  <mergeCells count="6">
    <mergeCell ref="B22:E22"/>
    <mergeCell ref="B1:E1"/>
    <mergeCell ref="B2:E2"/>
    <mergeCell ref="B5:E5"/>
    <mergeCell ref="B8:E8"/>
    <mergeCell ref="B15:E15"/>
  </mergeCells>
  <pageMargins left="0.4" right="0.4" top="0.55000000000000004" bottom="0.55000000000000004" header="0.511811023622047" footer="0.511811023622047"/>
  <pageSetup scale="89" fitToHeight="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28"/>
  <sheetViews>
    <sheetView showGridLines="0" zoomScaleNormal="100" workbookViewId="0">
      <selection sqref="A1:A1048576"/>
    </sheetView>
  </sheetViews>
  <sheetFormatPr defaultColWidth="8.6640625" defaultRowHeight="14.25" x14ac:dyDescent="0.45"/>
  <cols>
    <col min="1" max="1" width="0.33203125" customWidth="1"/>
    <col min="2" max="2" width="48" customWidth="1"/>
    <col min="3" max="3" width="16" customWidth="1"/>
    <col min="4" max="4" width="42" customWidth="1"/>
  </cols>
  <sheetData>
    <row r="1" spans="2:4" ht="43.5" customHeight="1" x14ac:dyDescent="0.45">
      <c r="B1" s="46" t="s">
        <v>119</v>
      </c>
      <c r="C1" s="46"/>
      <c r="D1" s="46"/>
    </row>
    <row r="2" spans="2:4" ht="31.5" customHeight="1" x14ac:dyDescent="0.45">
      <c r="B2" s="48" t="s">
        <v>120</v>
      </c>
      <c r="C2" s="48"/>
      <c r="D2" s="48"/>
    </row>
    <row r="3" spans="2:4" ht="7.5" customHeight="1" x14ac:dyDescent="0.45"/>
    <row r="4" spans="2:4" ht="18" customHeight="1" x14ac:dyDescent="0.45">
      <c r="B4" s="5" t="s">
        <v>121</v>
      </c>
      <c r="C4" s="6" t="s">
        <v>18</v>
      </c>
      <c r="D4" s="5"/>
    </row>
    <row r="5" spans="2:4" ht="21.75" customHeight="1" x14ac:dyDescent="0.45">
      <c r="B5" s="41" t="s">
        <v>122</v>
      </c>
      <c r="C5" s="41"/>
      <c r="D5" s="41"/>
    </row>
    <row r="6" spans="2:4" x14ac:dyDescent="0.45">
      <c r="B6" s="10" t="s">
        <v>123</v>
      </c>
      <c r="C6" s="16">
        <f>'Cash Flow Projection'!$O$15</f>
        <v>0</v>
      </c>
    </row>
    <row r="7" spans="2:4" x14ac:dyDescent="0.45">
      <c r="B7" s="10" t="s">
        <v>124</v>
      </c>
      <c r="C7" s="16">
        <f>'2. Sales Forecast'!$P$11-'Cash Flow Projection'!$P$8</f>
        <v>0</v>
      </c>
      <c r="D7" s="2" t="s">
        <v>125</v>
      </c>
    </row>
    <row r="8" spans="2:4" x14ac:dyDescent="0.45">
      <c r="B8" s="10" t="s">
        <v>126</v>
      </c>
      <c r="C8" s="16">
        <f>'1. Startup Costs'!C14</f>
        <v>0</v>
      </c>
      <c r="D8" s="2" t="s">
        <v>127</v>
      </c>
    </row>
    <row r="9" spans="2:4" x14ac:dyDescent="0.45">
      <c r="B9" s="3" t="s">
        <v>128</v>
      </c>
      <c r="C9" s="1">
        <f>SUM(C6:C8)</f>
        <v>0</v>
      </c>
    </row>
    <row r="10" spans="2:4" ht="3.75" customHeight="1" x14ac:dyDescent="0.45"/>
    <row r="11" spans="2:4" ht="21.75" customHeight="1" x14ac:dyDescent="0.45">
      <c r="B11" s="41" t="s">
        <v>129</v>
      </c>
      <c r="C11" s="41"/>
      <c r="D11" s="41"/>
    </row>
    <row r="12" spans="2:4" x14ac:dyDescent="0.45">
      <c r="B12" s="10" t="s">
        <v>130</v>
      </c>
      <c r="C12" s="16">
        <f>IF('1. Startup Costs'!C32=0,0,IF('1. Startup Costs'!C34*12&lt;=12,0,-CUMPRINC('1. Startup Costs'!C33/12,'1. Startup Costs'!C34*12,'1. Startup Costs'!C32,13,24,0)))</f>
        <v>0</v>
      </c>
      <c r="D12" s="2" t="s">
        <v>131</v>
      </c>
    </row>
    <row r="13" spans="2:4" x14ac:dyDescent="0.45">
      <c r="B13" s="10" t="s">
        <v>132</v>
      </c>
      <c r="C13" s="16">
        <f>IF('1. Startup Costs'!C32=0,0,'1. Startup Costs'!C32+CUMPRINC('1. Startup Costs'!C33/12,'1. Startup Costs'!C34*12,'1. Startup Costs'!C32,1,12,0)-C12)</f>
        <v>0</v>
      </c>
    </row>
    <row r="14" spans="2:4" x14ac:dyDescent="0.45">
      <c r="B14" s="3" t="s">
        <v>133</v>
      </c>
      <c r="C14" s="1">
        <f>C12+C13</f>
        <v>0</v>
      </c>
    </row>
    <row r="15" spans="2:4" ht="3.75" customHeight="1" x14ac:dyDescent="0.45"/>
    <row r="16" spans="2:4" ht="21.75" customHeight="1" x14ac:dyDescent="0.45">
      <c r="B16" s="41" t="s">
        <v>134</v>
      </c>
      <c r="C16" s="41"/>
      <c r="D16" s="41"/>
    </row>
    <row r="17" spans="2:4" x14ac:dyDescent="0.45">
      <c r="B17" s="10" t="s">
        <v>135</v>
      </c>
      <c r="C17" s="16">
        <f>'1. Startup Costs'!C31</f>
        <v>0</v>
      </c>
    </row>
    <row r="18" spans="2:4" x14ac:dyDescent="0.45">
      <c r="B18" s="10" t="s">
        <v>136</v>
      </c>
      <c r="C18" s="16">
        <f>-'3. Monthly Expenses'!$P$33</f>
        <v>0</v>
      </c>
    </row>
    <row r="19" spans="2:4" x14ac:dyDescent="0.45">
      <c r="B19" s="10" t="s">
        <v>137</v>
      </c>
      <c r="C19" s="16">
        <f>'Income Statement'!$C$20</f>
        <v>0</v>
      </c>
    </row>
    <row r="20" spans="2:4" x14ac:dyDescent="0.45">
      <c r="B20" s="3" t="s">
        <v>138</v>
      </c>
      <c r="C20" s="1">
        <f>SUM(C17:C19)</f>
        <v>0</v>
      </c>
    </row>
    <row r="21" spans="2:4" ht="3.75" customHeight="1" x14ac:dyDescent="0.45"/>
    <row r="22" spans="2:4" x14ac:dyDescent="0.45">
      <c r="B22" s="3" t="s">
        <v>139</v>
      </c>
      <c r="C22" s="1">
        <f>C14+C20</f>
        <v>0</v>
      </c>
    </row>
    <row r="23" spans="2:4" x14ac:dyDescent="0.45">
      <c r="B23" s="3" t="s">
        <v>140</v>
      </c>
      <c r="C23" s="21" t="str">
        <f>IF(ROUND(C9-C22,0)=0,"Balanced",TEXT(C9-C22,"$#,##0")&amp;" off")</f>
        <v>Balanced</v>
      </c>
      <c r="D23" s="2" t="s">
        <v>141</v>
      </c>
    </row>
    <row r="24" spans="2:4" ht="9.75" customHeight="1" x14ac:dyDescent="0.45"/>
    <row r="25" spans="2:4" ht="21.75" customHeight="1" x14ac:dyDescent="0.45">
      <c r="B25" s="41" t="s">
        <v>142</v>
      </c>
      <c r="C25" s="41"/>
      <c r="D25" s="41"/>
    </row>
    <row r="26" spans="2:4" x14ac:dyDescent="0.45">
      <c r="B26" s="10" t="s">
        <v>143</v>
      </c>
      <c r="C26" s="22">
        <f>IFERROR($C$6/('3. Monthly Expenses'!$P$30/12),0)</f>
        <v>0</v>
      </c>
      <c r="D26" s="2" t="s">
        <v>144</v>
      </c>
    </row>
    <row r="27" spans="2:4" x14ac:dyDescent="0.45">
      <c r="B27" s="10" t="s">
        <v>145</v>
      </c>
      <c r="C27" s="23">
        <f>IFERROR($C$14/$C$9,0)</f>
        <v>0</v>
      </c>
      <c r="D27" s="2" t="s">
        <v>146</v>
      </c>
    </row>
    <row r="28" spans="2:4" x14ac:dyDescent="0.45">
      <c r="B28" s="10" t="s">
        <v>147</v>
      </c>
      <c r="C28" s="23">
        <f>IFERROR($C$20/$C$9,0)</f>
        <v>0</v>
      </c>
      <c r="D28" s="2" t="s">
        <v>148</v>
      </c>
    </row>
  </sheetData>
  <sheetProtection sheet="1" formatCells="0"/>
  <mergeCells count="6">
    <mergeCell ref="B25:D25"/>
    <mergeCell ref="B1:D1"/>
    <mergeCell ref="B2:D2"/>
    <mergeCell ref="B5:D5"/>
    <mergeCell ref="B11:D11"/>
    <mergeCell ref="B16:D16"/>
  </mergeCells>
  <pageMargins left="0.4" right="0.4" top="0.55000000000000004" bottom="0.55000000000000004" header="0.511811023622047" footer="0.511811023622047"/>
  <pageSetup scale="94" fitToHeight="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116"/>
  <sheetViews>
    <sheetView showGridLines="0" zoomScaleNormal="100" workbookViewId="0">
      <pane ySplit="3" topLeftCell="A4" activePane="bottomLeft" state="frozen"/>
      <selection pane="bottomLeft" sqref="A1:P1"/>
    </sheetView>
  </sheetViews>
  <sheetFormatPr defaultColWidth="8.6640625" defaultRowHeight="14.25" x14ac:dyDescent="0.45"/>
  <cols>
    <col min="1" max="1" width="0.33203125" customWidth="1"/>
    <col min="2" max="2" width="40" customWidth="1"/>
    <col min="3" max="3" width="12" customWidth="1"/>
    <col min="4" max="15" width="9.53125" customWidth="1"/>
    <col min="16" max="16" width="13" customWidth="1"/>
  </cols>
  <sheetData>
    <row r="1" spans="2:16" ht="43.5" customHeight="1" x14ac:dyDescent="0.45">
      <c r="B1" s="46" t="s">
        <v>149</v>
      </c>
      <c r="C1" s="46"/>
      <c r="D1" s="46"/>
      <c r="E1" s="46"/>
      <c r="F1" s="46"/>
      <c r="G1" s="46"/>
      <c r="H1" s="46"/>
      <c r="I1" s="46"/>
      <c r="J1" s="46"/>
      <c r="K1" s="46"/>
      <c r="L1" s="46"/>
      <c r="M1" s="46"/>
      <c r="N1" s="46"/>
      <c r="O1" s="46"/>
      <c r="P1" s="46"/>
    </row>
    <row r="2" spans="2:16" ht="20.25" customHeight="1" x14ac:dyDescent="0.45">
      <c r="B2" s="48" t="s">
        <v>150</v>
      </c>
      <c r="C2" s="48"/>
      <c r="D2" s="48"/>
      <c r="E2" s="48"/>
      <c r="F2" s="48"/>
      <c r="G2" s="48"/>
      <c r="H2" s="48"/>
      <c r="I2" s="48"/>
      <c r="J2" s="48"/>
      <c r="K2" s="48"/>
      <c r="L2" s="48"/>
      <c r="M2" s="48"/>
      <c r="N2" s="48"/>
      <c r="O2" s="48"/>
      <c r="P2" s="48"/>
    </row>
    <row r="3" spans="2:16" ht="6" customHeight="1" x14ac:dyDescent="0.45"/>
    <row r="4" spans="2:16" x14ac:dyDescent="0.45">
      <c r="B4" s="54" t="s">
        <v>151</v>
      </c>
      <c r="C4" s="54"/>
      <c r="D4" s="54"/>
      <c r="E4" s="54"/>
      <c r="F4" s="54"/>
      <c r="G4" s="54"/>
      <c r="H4" s="54"/>
      <c r="I4" s="54"/>
      <c r="J4" s="54"/>
      <c r="K4" s="54"/>
      <c r="L4" s="54"/>
      <c r="M4" s="54"/>
      <c r="N4" s="54"/>
      <c r="O4" s="54"/>
      <c r="P4" s="54"/>
    </row>
    <row r="5" spans="2:16" ht="22.5" customHeight="1" x14ac:dyDescent="0.45">
      <c r="B5" s="55" t="s">
        <v>152</v>
      </c>
      <c r="C5" s="55"/>
      <c r="D5" s="55"/>
      <c r="E5" s="55"/>
      <c r="F5" s="55"/>
      <c r="G5" s="55"/>
      <c r="H5" s="55"/>
      <c r="I5" s="55"/>
      <c r="J5" s="55"/>
      <c r="K5" s="55"/>
      <c r="L5" s="55"/>
      <c r="M5" s="55"/>
      <c r="N5" s="55"/>
      <c r="O5" s="55"/>
      <c r="P5" s="55"/>
    </row>
    <row r="6" spans="2:16" ht="4.5" customHeight="1" x14ac:dyDescent="0.45"/>
    <row r="7" spans="2:16" ht="21.75" customHeight="1" x14ac:dyDescent="0.45">
      <c r="B7" s="41" t="s">
        <v>153</v>
      </c>
      <c r="C7" s="41"/>
      <c r="D7" s="41"/>
      <c r="E7" s="41"/>
      <c r="F7" s="41"/>
      <c r="G7" s="41"/>
      <c r="H7" s="41"/>
      <c r="I7" s="41"/>
      <c r="J7" s="41"/>
      <c r="K7" s="41"/>
      <c r="L7" s="41"/>
      <c r="M7" s="41"/>
      <c r="N7" s="41"/>
      <c r="O7" s="41"/>
      <c r="P7" s="41"/>
    </row>
    <row r="8" spans="2:16" ht="18" customHeight="1" x14ac:dyDescent="0.45">
      <c r="B8" s="24" t="s">
        <v>20</v>
      </c>
      <c r="C8" s="25"/>
      <c r="D8" s="25"/>
      <c r="E8" s="25"/>
      <c r="F8" s="25"/>
      <c r="G8" s="25"/>
      <c r="H8" s="25"/>
      <c r="I8" s="25"/>
      <c r="J8" s="25"/>
      <c r="K8" s="25"/>
      <c r="L8" s="25"/>
      <c r="M8" s="25"/>
      <c r="N8" s="25"/>
      <c r="O8" s="25"/>
      <c r="P8" s="25"/>
    </row>
    <row r="9" spans="2:16" x14ac:dyDescent="0.45">
      <c r="B9" s="10" t="s">
        <v>154</v>
      </c>
      <c r="C9" s="26">
        <v>18000</v>
      </c>
    </row>
    <row r="10" spans="2:16" x14ac:dyDescent="0.45">
      <c r="B10" s="10" t="s">
        <v>155</v>
      </c>
      <c r="C10" s="26">
        <v>6000</v>
      </c>
    </row>
    <row r="11" spans="2:16" x14ac:dyDescent="0.45">
      <c r="B11" s="10" t="s">
        <v>156</v>
      </c>
      <c r="C11" s="26">
        <v>500</v>
      </c>
    </row>
    <row r="12" spans="2:16" x14ac:dyDescent="0.45">
      <c r="B12" s="3" t="s">
        <v>27</v>
      </c>
      <c r="C12" s="1">
        <f>SUM(C9:C11)</f>
        <v>24500</v>
      </c>
    </row>
    <row r="13" spans="2:16" ht="18" customHeight="1" x14ac:dyDescent="0.45">
      <c r="B13" s="24" t="s">
        <v>157</v>
      </c>
      <c r="C13" s="25"/>
      <c r="D13" s="25"/>
      <c r="E13" s="25"/>
      <c r="F13" s="25"/>
      <c r="G13" s="25"/>
      <c r="H13" s="25"/>
      <c r="I13" s="25"/>
      <c r="J13" s="25"/>
      <c r="K13" s="25"/>
      <c r="L13" s="25"/>
      <c r="M13" s="25"/>
      <c r="N13" s="25"/>
      <c r="O13" s="25"/>
      <c r="P13" s="25"/>
    </row>
    <row r="14" spans="2:16" x14ac:dyDescent="0.45">
      <c r="B14" s="10" t="s">
        <v>158</v>
      </c>
      <c r="C14" s="26">
        <v>1200</v>
      </c>
    </row>
    <row r="15" spans="2:16" x14ac:dyDescent="0.45">
      <c r="B15" s="10" t="s">
        <v>159</v>
      </c>
      <c r="C15" s="26">
        <v>2400</v>
      </c>
    </row>
    <row r="16" spans="2:16" x14ac:dyDescent="0.45">
      <c r="B16" s="10" t="s">
        <v>32</v>
      </c>
      <c r="C16" s="26">
        <v>800</v>
      </c>
    </row>
    <row r="17" spans="2:16" x14ac:dyDescent="0.45">
      <c r="B17" s="10" t="s">
        <v>33</v>
      </c>
      <c r="C17" s="26">
        <v>1500</v>
      </c>
    </row>
    <row r="18" spans="2:16" x14ac:dyDescent="0.45">
      <c r="B18" s="10" t="s">
        <v>160</v>
      </c>
      <c r="C18" s="26">
        <v>600</v>
      </c>
    </row>
    <row r="19" spans="2:16" x14ac:dyDescent="0.45">
      <c r="B19" s="3" t="s">
        <v>34</v>
      </c>
      <c r="C19" s="1">
        <f>SUM(C14:C18)</f>
        <v>6500</v>
      </c>
    </row>
    <row r="20" spans="2:16" ht="18" customHeight="1" x14ac:dyDescent="0.45">
      <c r="B20" s="24" t="s">
        <v>35</v>
      </c>
      <c r="C20" s="25"/>
      <c r="D20" s="25"/>
      <c r="E20" s="25"/>
      <c r="F20" s="25"/>
      <c r="G20" s="25"/>
      <c r="H20" s="25"/>
      <c r="I20" s="25"/>
      <c r="J20" s="25"/>
      <c r="K20" s="25"/>
      <c r="L20" s="25"/>
      <c r="M20" s="25"/>
      <c r="N20" s="25"/>
      <c r="O20" s="25"/>
      <c r="P20" s="25"/>
    </row>
    <row r="21" spans="2:16" x14ac:dyDescent="0.45">
      <c r="B21" s="10" t="s">
        <v>36</v>
      </c>
      <c r="C21" s="26">
        <v>8000</v>
      </c>
    </row>
    <row r="22" spans="2:16" x14ac:dyDescent="0.45">
      <c r="B22" s="3" t="s">
        <v>38</v>
      </c>
      <c r="C22" s="9">
        <f>C12+C19+C21</f>
        <v>39000</v>
      </c>
    </row>
    <row r="23" spans="2:16" ht="18" customHeight="1" x14ac:dyDescent="0.45">
      <c r="B23" s="24" t="s">
        <v>161</v>
      </c>
      <c r="C23" s="25"/>
      <c r="D23" s="25"/>
      <c r="E23" s="25"/>
      <c r="F23" s="25"/>
      <c r="G23" s="25"/>
      <c r="H23" s="25"/>
      <c r="I23" s="25"/>
      <c r="J23" s="25"/>
      <c r="K23" s="25"/>
      <c r="L23" s="25"/>
      <c r="M23" s="25"/>
      <c r="N23" s="25"/>
      <c r="O23" s="25"/>
      <c r="P23" s="25"/>
    </row>
    <row r="24" spans="2:16" x14ac:dyDescent="0.45">
      <c r="B24" s="10" t="s">
        <v>40</v>
      </c>
      <c r="C24" s="26">
        <v>27000</v>
      </c>
    </row>
    <row r="25" spans="2:16" x14ac:dyDescent="0.45">
      <c r="B25" s="10" t="s">
        <v>41</v>
      </c>
      <c r="C25" s="26">
        <v>12000</v>
      </c>
    </row>
    <row r="26" spans="2:16" x14ac:dyDescent="0.45">
      <c r="B26" s="10" t="s">
        <v>42</v>
      </c>
      <c r="C26" s="27">
        <v>0.09</v>
      </c>
    </row>
    <row r="27" spans="2:16" x14ac:dyDescent="0.45">
      <c r="B27" s="10" t="s">
        <v>44</v>
      </c>
      <c r="C27" s="28">
        <v>5</v>
      </c>
    </row>
    <row r="28" spans="2:16" x14ac:dyDescent="0.45">
      <c r="B28" s="3" t="s">
        <v>48</v>
      </c>
      <c r="C28" s="1">
        <f>IF(C25&gt;0,-PMT(C26/12,C27*12,C25),0)</f>
        <v>249.10026271624812</v>
      </c>
    </row>
    <row r="29" spans="2:16" ht="7.5" customHeight="1" x14ac:dyDescent="0.45"/>
    <row r="30" spans="2:16" ht="21.75" customHeight="1" x14ac:dyDescent="0.45">
      <c r="B30" s="41" t="s">
        <v>162</v>
      </c>
      <c r="C30" s="41"/>
      <c r="D30" s="41"/>
      <c r="E30" s="41"/>
      <c r="F30" s="41"/>
      <c r="G30" s="41"/>
      <c r="H30" s="41"/>
      <c r="I30" s="41"/>
      <c r="J30" s="41"/>
      <c r="K30" s="41"/>
      <c r="L30" s="41"/>
      <c r="M30" s="41"/>
      <c r="N30" s="41"/>
      <c r="O30" s="41"/>
      <c r="P30" s="41"/>
    </row>
    <row r="31" spans="2:16" ht="15.75" customHeight="1" x14ac:dyDescent="0.45">
      <c r="B31" s="5" t="s">
        <v>51</v>
      </c>
      <c r="C31" s="14" t="s">
        <v>163</v>
      </c>
      <c r="D31" s="14" t="s">
        <v>164</v>
      </c>
      <c r="E31" s="14" t="s">
        <v>165</v>
      </c>
      <c r="F31" s="14" t="s">
        <v>166</v>
      </c>
      <c r="G31" s="14" t="s">
        <v>167</v>
      </c>
      <c r="H31" s="14" t="s">
        <v>168</v>
      </c>
      <c r="I31" s="14" t="s">
        <v>169</v>
      </c>
      <c r="J31" s="14" t="s">
        <v>170</v>
      </c>
      <c r="K31" s="14" t="s">
        <v>171</v>
      </c>
      <c r="L31" s="14" t="s">
        <v>172</v>
      </c>
      <c r="M31" s="14" t="s">
        <v>173</v>
      </c>
      <c r="N31" s="14" t="s">
        <v>174</v>
      </c>
      <c r="O31" s="14" t="s">
        <v>175</v>
      </c>
      <c r="P31" s="14" t="s">
        <v>99</v>
      </c>
    </row>
    <row r="32" spans="2:16" x14ac:dyDescent="0.45">
      <c r="B32" s="10" t="s">
        <v>176</v>
      </c>
      <c r="D32" s="26">
        <v>2600</v>
      </c>
      <c r="E32" s="26">
        <v>3250</v>
      </c>
      <c r="F32" s="26">
        <v>3900</v>
      </c>
      <c r="G32" s="26">
        <v>4550</v>
      </c>
      <c r="H32" s="26">
        <v>5200</v>
      </c>
      <c r="I32" s="26">
        <v>5850</v>
      </c>
      <c r="J32" s="26">
        <v>6500</v>
      </c>
      <c r="K32" s="26">
        <v>6500</v>
      </c>
      <c r="L32" s="26">
        <v>7150</v>
      </c>
      <c r="M32" s="26">
        <v>7150</v>
      </c>
      <c r="N32" s="26">
        <v>7800</v>
      </c>
      <c r="O32" s="26">
        <v>7800</v>
      </c>
      <c r="P32" s="16">
        <f>SUM(D32:O32)</f>
        <v>68250</v>
      </c>
    </row>
    <row r="33" spans="2:16" x14ac:dyDescent="0.45">
      <c r="B33" s="10" t="s">
        <v>177</v>
      </c>
      <c r="D33" s="26">
        <v>900</v>
      </c>
      <c r="E33" s="26">
        <v>900</v>
      </c>
      <c r="F33" s="26">
        <v>1800</v>
      </c>
      <c r="G33" s="26">
        <v>1800</v>
      </c>
      <c r="H33" s="26">
        <v>2700</v>
      </c>
      <c r="I33" s="26">
        <v>2700</v>
      </c>
      <c r="J33" s="26">
        <v>3600</v>
      </c>
      <c r="K33" s="26">
        <v>3600</v>
      </c>
      <c r="L33" s="26">
        <v>3600</v>
      </c>
      <c r="M33" s="26">
        <v>4500</v>
      </c>
      <c r="N33" s="26">
        <v>4500</v>
      </c>
      <c r="O33" s="26">
        <v>4500</v>
      </c>
      <c r="P33" s="16">
        <f>SUM(D33:O33)</f>
        <v>35100</v>
      </c>
    </row>
    <row r="34" spans="2:16" x14ac:dyDescent="0.45">
      <c r="B34" s="3" t="s">
        <v>67</v>
      </c>
      <c r="D34" s="1">
        <f t="shared" ref="D34:O34" si="0">SUM(D32:D33)</f>
        <v>3500</v>
      </c>
      <c r="E34" s="1">
        <f t="shared" si="0"/>
        <v>4150</v>
      </c>
      <c r="F34" s="1">
        <f t="shared" si="0"/>
        <v>5700</v>
      </c>
      <c r="G34" s="1">
        <f t="shared" si="0"/>
        <v>6350</v>
      </c>
      <c r="H34" s="1">
        <f t="shared" si="0"/>
        <v>7900</v>
      </c>
      <c r="I34" s="1">
        <f t="shared" si="0"/>
        <v>8550</v>
      </c>
      <c r="J34" s="1">
        <f t="shared" si="0"/>
        <v>10100</v>
      </c>
      <c r="K34" s="1">
        <f t="shared" si="0"/>
        <v>10100</v>
      </c>
      <c r="L34" s="1">
        <f t="shared" si="0"/>
        <v>10750</v>
      </c>
      <c r="M34" s="1">
        <f t="shared" si="0"/>
        <v>11650</v>
      </c>
      <c r="N34" s="1">
        <f t="shared" si="0"/>
        <v>12300</v>
      </c>
      <c r="O34" s="1">
        <f t="shared" si="0"/>
        <v>12300</v>
      </c>
      <c r="P34" s="1">
        <f>SUM(D34:O34)</f>
        <v>103350</v>
      </c>
    </row>
    <row r="35" spans="2:16" ht="6" customHeight="1" x14ac:dyDescent="0.45"/>
    <row r="36" spans="2:16" ht="24" customHeight="1" x14ac:dyDescent="0.45">
      <c r="B36" s="51" t="s">
        <v>178</v>
      </c>
      <c r="C36" s="51"/>
      <c r="D36" s="51"/>
      <c r="E36" s="51"/>
      <c r="F36" s="51"/>
      <c r="G36" s="51"/>
      <c r="H36" s="51"/>
      <c r="I36" s="51"/>
      <c r="J36" s="51"/>
      <c r="K36" s="51"/>
      <c r="L36" s="51"/>
      <c r="M36" s="51"/>
      <c r="N36" s="51"/>
      <c r="O36" s="51"/>
      <c r="P36" s="51"/>
    </row>
    <row r="37" spans="2:16" ht="6" customHeight="1" x14ac:dyDescent="0.45"/>
    <row r="38" spans="2:16" ht="21.75" customHeight="1" x14ac:dyDescent="0.45">
      <c r="B38" s="41" t="s">
        <v>179</v>
      </c>
      <c r="C38" s="41"/>
      <c r="D38" s="41"/>
      <c r="E38" s="41"/>
      <c r="F38" s="41"/>
      <c r="G38" s="41"/>
      <c r="H38" s="41"/>
      <c r="I38" s="41"/>
      <c r="J38" s="41"/>
      <c r="K38" s="41"/>
      <c r="L38" s="41"/>
      <c r="M38" s="41"/>
      <c r="N38" s="41"/>
      <c r="O38" s="41"/>
      <c r="P38" s="41"/>
    </row>
    <row r="39" spans="2:16" ht="15.75" customHeight="1" x14ac:dyDescent="0.45">
      <c r="B39" s="5" t="s">
        <v>69</v>
      </c>
      <c r="C39" s="14" t="s">
        <v>163</v>
      </c>
      <c r="D39" s="14" t="s">
        <v>164</v>
      </c>
      <c r="E39" s="14" t="s">
        <v>165</v>
      </c>
      <c r="F39" s="14" t="s">
        <v>166</v>
      </c>
      <c r="G39" s="14" t="s">
        <v>167</v>
      </c>
      <c r="H39" s="14" t="s">
        <v>168</v>
      </c>
      <c r="I39" s="14" t="s">
        <v>169</v>
      </c>
      <c r="J39" s="14" t="s">
        <v>170</v>
      </c>
      <c r="K39" s="14" t="s">
        <v>171</v>
      </c>
      <c r="L39" s="14" t="s">
        <v>172</v>
      </c>
      <c r="M39" s="14" t="s">
        <v>173</v>
      </c>
      <c r="N39" s="14" t="s">
        <v>174</v>
      </c>
      <c r="O39" s="14" t="s">
        <v>175</v>
      </c>
      <c r="P39" s="14" t="s">
        <v>99</v>
      </c>
    </row>
    <row r="40" spans="2:16" ht="18" customHeight="1" x14ac:dyDescent="0.45">
      <c r="B40" s="24" t="s">
        <v>71</v>
      </c>
      <c r="C40" s="25"/>
      <c r="D40" s="25"/>
      <c r="E40" s="25"/>
      <c r="F40" s="25"/>
      <c r="G40" s="25"/>
      <c r="H40" s="25"/>
      <c r="I40" s="25"/>
      <c r="J40" s="25"/>
      <c r="K40" s="25"/>
      <c r="L40" s="25"/>
      <c r="M40" s="25"/>
      <c r="N40" s="25"/>
      <c r="O40" s="25"/>
      <c r="P40" s="25"/>
    </row>
    <row r="41" spans="2:16" x14ac:dyDescent="0.45">
      <c r="B41" s="10" t="s">
        <v>180</v>
      </c>
      <c r="D41" s="26">
        <v>2600</v>
      </c>
      <c r="E41" s="26">
        <v>3000</v>
      </c>
      <c r="F41" s="26">
        <v>3400</v>
      </c>
      <c r="G41" s="26">
        <v>3900</v>
      </c>
      <c r="H41" s="26">
        <v>4300</v>
      </c>
      <c r="I41" s="26">
        <v>4700</v>
      </c>
      <c r="J41" s="26">
        <v>5100</v>
      </c>
      <c r="K41" s="26">
        <v>5100</v>
      </c>
      <c r="L41" s="26">
        <v>5500</v>
      </c>
      <c r="M41" s="26">
        <v>5500</v>
      </c>
      <c r="N41" s="26">
        <v>5900</v>
      </c>
      <c r="O41" s="26">
        <v>5900</v>
      </c>
      <c r="P41" s="16">
        <f>SUM(D41:O41)</f>
        <v>54900</v>
      </c>
    </row>
    <row r="42" spans="2:16" x14ac:dyDescent="0.45">
      <c r="B42" s="10" t="s">
        <v>181</v>
      </c>
      <c r="C42" s="27">
        <v>0.1</v>
      </c>
      <c r="D42" s="16">
        <f t="shared" ref="D42:O42" si="1">D41*$C$42</f>
        <v>260</v>
      </c>
      <c r="E42" s="16">
        <f t="shared" si="1"/>
        <v>300</v>
      </c>
      <c r="F42" s="16">
        <f t="shared" si="1"/>
        <v>340</v>
      </c>
      <c r="G42" s="16">
        <f t="shared" si="1"/>
        <v>390</v>
      </c>
      <c r="H42" s="16">
        <f t="shared" si="1"/>
        <v>430</v>
      </c>
      <c r="I42" s="16">
        <f t="shared" si="1"/>
        <v>470</v>
      </c>
      <c r="J42" s="16">
        <f t="shared" si="1"/>
        <v>510</v>
      </c>
      <c r="K42" s="16">
        <f t="shared" si="1"/>
        <v>510</v>
      </c>
      <c r="L42" s="16">
        <f t="shared" si="1"/>
        <v>550</v>
      </c>
      <c r="M42" s="16">
        <f t="shared" si="1"/>
        <v>550</v>
      </c>
      <c r="N42" s="16">
        <f t="shared" si="1"/>
        <v>590</v>
      </c>
      <c r="O42" s="16">
        <f t="shared" si="1"/>
        <v>590</v>
      </c>
      <c r="P42" s="16">
        <f>SUM(D42:O42)</f>
        <v>5490</v>
      </c>
    </row>
    <row r="43" spans="2:16" x14ac:dyDescent="0.45">
      <c r="B43" s="10" t="s">
        <v>182</v>
      </c>
      <c r="C43" s="27">
        <v>0.06</v>
      </c>
      <c r="D43" s="16">
        <f t="shared" ref="D43:O43" si="2">D41*$C$43</f>
        <v>156</v>
      </c>
      <c r="E43" s="16">
        <f t="shared" si="2"/>
        <v>180</v>
      </c>
      <c r="F43" s="16">
        <f t="shared" si="2"/>
        <v>204</v>
      </c>
      <c r="G43" s="16">
        <f t="shared" si="2"/>
        <v>234</v>
      </c>
      <c r="H43" s="16">
        <f t="shared" si="2"/>
        <v>258</v>
      </c>
      <c r="I43" s="16">
        <f t="shared" si="2"/>
        <v>282</v>
      </c>
      <c r="J43" s="16">
        <f t="shared" si="2"/>
        <v>306</v>
      </c>
      <c r="K43" s="16">
        <f t="shared" si="2"/>
        <v>306</v>
      </c>
      <c r="L43" s="16">
        <f t="shared" si="2"/>
        <v>330</v>
      </c>
      <c r="M43" s="16">
        <f t="shared" si="2"/>
        <v>330</v>
      </c>
      <c r="N43" s="16">
        <f t="shared" si="2"/>
        <v>354</v>
      </c>
      <c r="O43" s="16">
        <f t="shared" si="2"/>
        <v>354</v>
      </c>
      <c r="P43" s="16">
        <f>SUM(D43:O43)</f>
        <v>3294</v>
      </c>
    </row>
    <row r="44" spans="2:16" x14ac:dyDescent="0.45">
      <c r="B44" s="10" t="s">
        <v>183</v>
      </c>
      <c r="D44" s="26">
        <v>150</v>
      </c>
      <c r="E44" s="26">
        <v>180</v>
      </c>
      <c r="F44" s="26">
        <v>210</v>
      </c>
      <c r="G44" s="26">
        <v>250</v>
      </c>
      <c r="H44" s="26">
        <v>290</v>
      </c>
      <c r="I44" s="26">
        <v>320</v>
      </c>
      <c r="J44" s="26">
        <v>360</v>
      </c>
      <c r="K44" s="26">
        <v>360</v>
      </c>
      <c r="L44" s="26">
        <v>400</v>
      </c>
      <c r="M44" s="26">
        <v>400</v>
      </c>
      <c r="N44" s="26">
        <v>440</v>
      </c>
      <c r="O44" s="26">
        <v>440</v>
      </c>
      <c r="P44" s="16">
        <f>SUM(D44:O44)</f>
        <v>3800</v>
      </c>
    </row>
    <row r="45" spans="2:16" x14ac:dyDescent="0.45">
      <c r="B45" s="3" t="s">
        <v>74</v>
      </c>
      <c r="D45" s="1">
        <f t="shared" ref="D45:O45" si="3">SUM(D41:D44)</f>
        <v>3166</v>
      </c>
      <c r="E45" s="1">
        <f t="shared" si="3"/>
        <v>3660</v>
      </c>
      <c r="F45" s="1">
        <f t="shared" si="3"/>
        <v>4154</v>
      </c>
      <c r="G45" s="1">
        <f t="shared" si="3"/>
        <v>4774</v>
      </c>
      <c r="H45" s="1">
        <f t="shared" si="3"/>
        <v>5278</v>
      </c>
      <c r="I45" s="1">
        <f t="shared" si="3"/>
        <v>5772</v>
      </c>
      <c r="J45" s="1">
        <f t="shared" si="3"/>
        <v>6276</v>
      </c>
      <c r="K45" s="1">
        <f t="shared" si="3"/>
        <v>6276</v>
      </c>
      <c r="L45" s="1">
        <f t="shared" si="3"/>
        <v>6780</v>
      </c>
      <c r="M45" s="1">
        <f t="shared" si="3"/>
        <v>6780</v>
      </c>
      <c r="N45" s="1">
        <f t="shared" si="3"/>
        <v>7284</v>
      </c>
      <c r="O45" s="1">
        <f t="shared" si="3"/>
        <v>7284</v>
      </c>
      <c r="P45" s="1">
        <f>SUM(D45:O45)</f>
        <v>67484</v>
      </c>
    </row>
    <row r="46" spans="2:16" ht="18" customHeight="1" x14ac:dyDescent="0.45">
      <c r="B46" s="24" t="s">
        <v>75</v>
      </c>
      <c r="C46" s="25"/>
      <c r="D46" s="25"/>
      <c r="E46" s="25"/>
      <c r="F46" s="25"/>
      <c r="G46" s="25"/>
      <c r="H46" s="25"/>
      <c r="I46" s="25"/>
      <c r="J46" s="25"/>
      <c r="K46" s="25"/>
      <c r="L46" s="25"/>
      <c r="M46" s="25"/>
      <c r="N46" s="25"/>
      <c r="O46" s="25"/>
      <c r="P46" s="25"/>
    </row>
    <row r="47" spans="2:16" x14ac:dyDescent="0.45">
      <c r="B47" s="10" t="s">
        <v>184</v>
      </c>
      <c r="D47" s="26">
        <v>250</v>
      </c>
      <c r="E47" s="26">
        <v>250</v>
      </c>
      <c r="F47" s="26">
        <v>250</v>
      </c>
      <c r="G47" s="26">
        <v>250</v>
      </c>
      <c r="H47" s="26">
        <v>250</v>
      </c>
      <c r="I47" s="26">
        <v>250</v>
      </c>
      <c r="J47" s="26">
        <v>250</v>
      </c>
      <c r="K47" s="26">
        <v>250</v>
      </c>
      <c r="L47" s="26">
        <v>250</v>
      </c>
      <c r="M47" s="26">
        <v>250</v>
      </c>
      <c r="N47" s="26">
        <v>250</v>
      </c>
      <c r="O47" s="26">
        <v>250</v>
      </c>
      <c r="P47" s="16">
        <f t="shared" ref="P47:P57" si="4">SUM(D47:O47)</f>
        <v>3000</v>
      </c>
    </row>
    <row r="48" spans="2:16" x14ac:dyDescent="0.45">
      <c r="B48" s="10" t="s">
        <v>185</v>
      </c>
      <c r="D48" s="26">
        <v>120</v>
      </c>
      <c r="E48" s="26">
        <v>120</v>
      </c>
      <c r="F48" s="26">
        <v>120</v>
      </c>
      <c r="G48" s="26">
        <v>120</v>
      </c>
      <c r="H48" s="26">
        <v>120</v>
      </c>
      <c r="I48" s="26">
        <v>120</v>
      </c>
      <c r="J48" s="26">
        <v>120</v>
      </c>
      <c r="K48" s="26">
        <v>120</v>
      </c>
      <c r="L48" s="26">
        <v>120</v>
      </c>
      <c r="M48" s="26">
        <v>120</v>
      </c>
      <c r="N48" s="26">
        <v>120</v>
      </c>
      <c r="O48" s="26">
        <v>120</v>
      </c>
      <c r="P48" s="16">
        <f t="shared" si="4"/>
        <v>1440</v>
      </c>
    </row>
    <row r="49" spans="2:16" x14ac:dyDescent="0.45">
      <c r="B49" s="10" t="s">
        <v>186</v>
      </c>
      <c r="D49" s="26">
        <v>180</v>
      </c>
      <c r="E49" s="26">
        <v>180</v>
      </c>
      <c r="F49" s="26">
        <v>180</v>
      </c>
      <c r="G49" s="26">
        <v>180</v>
      </c>
      <c r="H49" s="26">
        <v>180</v>
      </c>
      <c r="I49" s="26">
        <v>180</v>
      </c>
      <c r="J49" s="26">
        <v>180</v>
      </c>
      <c r="K49" s="26">
        <v>180</v>
      </c>
      <c r="L49" s="26">
        <v>180</v>
      </c>
      <c r="M49" s="26">
        <v>180</v>
      </c>
      <c r="N49" s="26">
        <v>180</v>
      </c>
      <c r="O49" s="26">
        <v>180</v>
      </c>
      <c r="P49" s="16">
        <f t="shared" si="4"/>
        <v>2160</v>
      </c>
    </row>
    <row r="50" spans="2:16" x14ac:dyDescent="0.45">
      <c r="B50" s="10" t="s">
        <v>187</v>
      </c>
      <c r="D50" s="26">
        <v>200</v>
      </c>
      <c r="E50" s="26">
        <v>200</v>
      </c>
      <c r="F50" s="26">
        <v>200</v>
      </c>
      <c r="G50" s="26">
        <v>200</v>
      </c>
      <c r="H50" s="26">
        <v>200</v>
      </c>
      <c r="I50" s="26">
        <v>200</v>
      </c>
      <c r="J50" s="26">
        <v>200</v>
      </c>
      <c r="K50" s="26">
        <v>200</v>
      </c>
      <c r="L50" s="26">
        <v>200</v>
      </c>
      <c r="M50" s="26">
        <v>200</v>
      </c>
      <c r="N50" s="26">
        <v>200</v>
      </c>
      <c r="O50" s="26">
        <v>200</v>
      </c>
      <c r="P50" s="16">
        <f t="shared" si="4"/>
        <v>2400</v>
      </c>
    </row>
    <row r="51" spans="2:16" x14ac:dyDescent="0.45">
      <c r="B51" s="10" t="s">
        <v>188</v>
      </c>
      <c r="D51" s="26">
        <v>150</v>
      </c>
      <c r="E51" s="26">
        <v>150</v>
      </c>
      <c r="F51" s="26">
        <v>150</v>
      </c>
      <c r="G51" s="26">
        <v>150</v>
      </c>
      <c r="H51" s="26">
        <v>150</v>
      </c>
      <c r="I51" s="26">
        <v>150</v>
      </c>
      <c r="J51" s="26">
        <v>150</v>
      </c>
      <c r="K51" s="26">
        <v>150</v>
      </c>
      <c r="L51" s="26">
        <v>150</v>
      </c>
      <c r="M51" s="26">
        <v>150</v>
      </c>
      <c r="N51" s="26">
        <v>150</v>
      </c>
      <c r="O51" s="26">
        <v>150</v>
      </c>
      <c r="P51" s="16">
        <f t="shared" si="4"/>
        <v>1800</v>
      </c>
    </row>
    <row r="52" spans="2:16" x14ac:dyDescent="0.45">
      <c r="B52" s="10" t="s">
        <v>189</v>
      </c>
      <c r="D52" s="26">
        <v>120</v>
      </c>
      <c r="E52" s="26">
        <v>120</v>
      </c>
      <c r="F52" s="26">
        <v>120</v>
      </c>
      <c r="G52" s="26">
        <v>120</v>
      </c>
      <c r="H52" s="26">
        <v>120</v>
      </c>
      <c r="I52" s="26">
        <v>120</v>
      </c>
      <c r="J52" s="26">
        <v>120</v>
      </c>
      <c r="K52" s="26">
        <v>120</v>
      </c>
      <c r="L52" s="26">
        <v>120</v>
      </c>
      <c r="M52" s="26">
        <v>120</v>
      </c>
      <c r="N52" s="26">
        <v>120</v>
      </c>
      <c r="O52" s="26">
        <v>120</v>
      </c>
      <c r="P52" s="16">
        <f t="shared" si="4"/>
        <v>1440</v>
      </c>
    </row>
    <row r="53" spans="2:16" x14ac:dyDescent="0.45">
      <c r="B53" s="10" t="s">
        <v>190</v>
      </c>
      <c r="D53" s="26">
        <v>150</v>
      </c>
      <c r="E53" s="26">
        <v>150</v>
      </c>
      <c r="F53" s="26">
        <v>150</v>
      </c>
      <c r="G53" s="26">
        <v>150</v>
      </c>
      <c r="H53" s="26">
        <v>150</v>
      </c>
      <c r="I53" s="26">
        <v>150</v>
      </c>
      <c r="J53" s="26">
        <v>150</v>
      </c>
      <c r="K53" s="26">
        <v>150</v>
      </c>
      <c r="L53" s="26">
        <v>150</v>
      </c>
      <c r="M53" s="26">
        <v>150</v>
      </c>
      <c r="N53" s="26">
        <v>150</v>
      </c>
      <c r="O53" s="26">
        <v>150</v>
      </c>
      <c r="P53" s="16">
        <f t="shared" si="4"/>
        <v>1800</v>
      </c>
    </row>
    <row r="54" spans="2:16" x14ac:dyDescent="0.45">
      <c r="B54" s="10" t="s">
        <v>191</v>
      </c>
      <c r="D54" s="26">
        <v>50</v>
      </c>
      <c r="E54" s="26">
        <v>50</v>
      </c>
      <c r="F54" s="26">
        <v>50</v>
      </c>
      <c r="G54" s="26">
        <v>50</v>
      </c>
      <c r="H54" s="26">
        <v>50</v>
      </c>
      <c r="I54" s="26">
        <v>50</v>
      </c>
      <c r="J54" s="26">
        <v>50</v>
      </c>
      <c r="K54" s="26">
        <v>50</v>
      </c>
      <c r="L54" s="26">
        <v>50</v>
      </c>
      <c r="M54" s="26">
        <v>50</v>
      </c>
      <c r="N54" s="26">
        <v>50</v>
      </c>
      <c r="O54" s="26">
        <v>50</v>
      </c>
      <c r="P54" s="16">
        <f t="shared" si="4"/>
        <v>600</v>
      </c>
    </row>
    <row r="55" spans="2:16" x14ac:dyDescent="0.45">
      <c r="B55" s="10" t="s">
        <v>76</v>
      </c>
      <c r="D55" s="16">
        <f>IF(C25&gt;0,-IPMT(C26/12,1,C27*12,C25),0)</f>
        <v>90.000000000000014</v>
      </c>
      <c r="E55" s="16">
        <f>IF(C25&gt;0,-IPMT(C26/12,2,C27*12,C25),0)</f>
        <v>88.806748029628139</v>
      </c>
      <c r="F55" s="16">
        <f>IF(C25&gt;0,-IPMT(C26/12,3,C27*12,C25),0)</f>
        <v>87.604546669478495</v>
      </c>
      <c r="G55" s="16">
        <f>IF(C25&gt;0,-IPMT(C26/12,4,C27*12,C25),0)</f>
        <v>86.393328799127715</v>
      </c>
      <c r="H55" s="16">
        <f>IF(C25&gt;0,-IPMT(C26/12,5,C27*12,C25),0)</f>
        <v>85.173026794749319</v>
      </c>
      <c r="I55" s="16">
        <f>IF(C25&gt;0,-IPMT(C26/12,6,C27*12,C25),0)</f>
        <v>83.943572525338084</v>
      </c>
      <c r="J55" s="16">
        <f>IF(C25&gt;0,-IPMT(C26/12,7,C27*12,C25),0)</f>
        <v>82.704897348906243</v>
      </c>
      <c r="K55" s="16">
        <f>IF(C25&gt;0,-IPMT(C26/12,8,C27*12,C25),0)</f>
        <v>81.456932108651188</v>
      </c>
      <c r="L55" s="16">
        <f>IF(C25&gt;0,-IPMT(C26/12,9,C27*12,C25),0)</f>
        <v>80.199607129094218</v>
      </c>
      <c r="M55" s="16">
        <f>IF(C25&gt;0,-IPMT(C26/12,10,C27*12,C25),0)</f>
        <v>78.932852212190568</v>
      </c>
      <c r="N55" s="16">
        <f>IF(C25&gt;0,-IPMT(C26/12,11,C27*12,C25),0)</f>
        <v>77.656596633410118</v>
      </c>
      <c r="O55" s="16">
        <f>IF(C25&gt;0,-IPMT(C26/12,12,C27*12,C25),0)</f>
        <v>76.370769137788841</v>
      </c>
      <c r="P55" s="16">
        <f t="shared" si="4"/>
        <v>999.24287738836301</v>
      </c>
    </row>
    <row r="56" spans="2:16" x14ac:dyDescent="0.45">
      <c r="B56" s="3" t="s">
        <v>78</v>
      </c>
      <c r="D56" s="1">
        <f t="shared" ref="D56:O56" si="5">SUM(D47:D55)</f>
        <v>1310</v>
      </c>
      <c r="E56" s="1">
        <f t="shared" si="5"/>
        <v>1308.8067480296281</v>
      </c>
      <c r="F56" s="1">
        <f t="shared" si="5"/>
        <v>1307.6045466694784</v>
      </c>
      <c r="G56" s="1">
        <f t="shared" si="5"/>
        <v>1306.3933287991276</v>
      </c>
      <c r="H56" s="1">
        <f t="shared" si="5"/>
        <v>1305.1730267947494</v>
      </c>
      <c r="I56" s="1">
        <f t="shared" si="5"/>
        <v>1303.9435725253381</v>
      </c>
      <c r="J56" s="1">
        <f t="shared" si="5"/>
        <v>1302.7048973489063</v>
      </c>
      <c r="K56" s="1">
        <f t="shared" si="5"/>
        <v>1301.4569321086512</v>
      </c>
      <c r="L56" s="1">
        <f t="shared" si="5"/>
        <v>1300.1996071290941</v>
      </c>
      <c r="M56" s="1">
        <f t="shared" si="5"/>
        <v>1298.9328522121905</v>
      </c>
      <c r="N56" s="1">
        <f t="shared" si="5"/>
        <v>1297.6565966334101</v>
      </c>
      <c r="O56" s="1">
        <f t="shared" si="5"/>
        <v>1296.3707691377888</v>
      </c>
      <c r="P56" s="1">
        <f t="shared" si="4"/>
        <v>15639.242877388362</v>
      </c>
    </row>
    <row r="57" spans="2:16" x14ac:dyDescent="0.45">
      <c r="B57" s="3" t="s">
        <v>79</v>
      </c>
      <c r="D57" s="1">
        <f t="shared" ref="D57:O57" si="6">D45+D56</f>
        <v>4476</v>
      </c>
      <c r="E57" s="1">
        <f t="shared" si="6"/>
        <v>4968.8067480296286</v>
      </c>
      <c r="F57" s="1">
        <f t="shared" si="6"/>
        <v>5461.6045466694786</v>
      </c>
      <c r="G57" s="1">
        <f t="shared" si="6"/>
        <v>6080.3933287991276</v>
      </c>
      <c r="H57" s="1">
        <f t="shared" si="6"/>
        <v>6583.1730267947496</v>
      </c>
      <c r="I57" s="1">
        <f t="shared" si="6"/>
        <v>7075.9435725253379</v>
      </c>
      <c r="J57" s="1">
        <f t="shared" si="6"/>
        <v>7578.7048973489063</v>
      </c>
      <c r="K57" s="1">
        <f t="shared" si="6"/>
        <v>7577.456932108651</v>
      </c>
      <c r="L57" s="1">
        <f t="shared" si="6"/>
        <v>8080.1996071290941</v>
      </c>
      <c r="M57" s="1">
        <f t="shared" si="6"/>
        <v>8078.9328522121905</v>
      </c>
      <c r="N57" s="1">
        <f t="shared" si="6"/>
        <v>8581.6565966334092</v>
      </c>
      <c r="O57" s="1">
        <f t="shared" si="6"/>
        <v>8580.3707691377895</v>
      </c>
      <c r="P57" s="1">
        <f t="shared" si="4"/>
        <v>83123.242877388358</v>
      </c>
    </row>
    <row r="58" spans="2:16" ht="18" customHeight="1" x14ac:dyDescent="0.45">
      <c r="B58" s="24" t="s">
        <v>80</v>
      </c>
      <c r="C58" s="25"/>
      <c r="D58" s="25"/>
      <c r="E58" s="25"/>
      <c r="F58" s="25"/>
      <c r="G58" s="25"/>
      <c r="H58" s="25"/>
      <c r="I58" s="25"/>
      <c r="J58" s="25"/>
      <c r="K58" s="25"/>
      <c r="L58" s="25"/>
      <c r="M58" s="25"/>
      <c r="N58" s="25"/>
      <c r="O58" s="25"/>
      <c r="P58" s="25"/>
    </row>
    <row r="59" spans="2:16" x14ac:dyDescent="0.45">
      <c r="B59" s="10" t="s">
        <v>81</v>
      </c>
      <c r="D59" s="26">
        <v>0</v>
      </c>
      <c r="E59" s="26">
        <v>0</v>
      </c>
      <c r="F59" s="26">
        <v>0</v>
      </c>
      <c r="G59" s="26">
        <v>0</v>
      </c>
      <c r="H59" s="26">
        <v>0</v>
      </c>
      <c r="I59" s="26">
        <v>0</v>
      </c>
      <c r="J59" s="26">
        <v>0</v>
      </c>
      <c r="K59" s="26">
        <v>0</v>
      </c>
      <c r="L59" s="26">
        <v>0</v>
      </c>
      <c r="M59" s="26">
        <v>0</v>
      </c>
      <c r="N59" s="26">
        <v>0</v>
      </c>
      <c r="O59" s="26">
        <v>0</v>
      </c>
      <c r="P59" s="16">
        <f>SUM(D59:O59)</f>
        <v>0</v>
      </c>
    </row>
    <row r="60" spans="2:16" ht="7.5" customHeight="1" x14ac:dyDescent="0.45"/>
    <row r="61" spans="2:16" ht="21.75" customHeight="1" x14ac:dyDescent="0.45">
      <c r="B61" s="41" t="s">
        <v>192</v>
      </c>
      <c r="C61" s="41"/>
      <c r="D61" s="41"/>
      <c r="E61" s="41"/>
      <c r="F61" s="41"/>
      <c r="G61" s="41"/>
      <c r="H61" s="41"/>
      <c r="I61" s="41"/>
      <c r="J61" s="41"/>
      <c r="K61" s="41"/>
      <c r="L61" s="41"/>
      <c r="M61" s="41"/>
      <c r="N61" s="41"/>
      <c r="O61" s="41"/>
      <c r="P61" s="41"/>
    </row>
    <row r="62" spans="2:16" ht="15.75" customHeight="1" x14ac:dyDescent="0.45">
      <c r="B62" s="5" t="s">
        <v>84</v>
      </c>
      <c r="C62" s="14" t="s">
        <v>163</v>
      </c>
      <c r="D62" s="14" t="s">
        <v>164</v>
      </c>
      <c r="E62" s="14" t="s">
        <v>165</v>
      </c>
      <c r="F62" s="14" t="s">
        <v>166</v>
      </c>
      <c r="G62" s="14" t="s">
        <v>167</v>
      </c>
      <c r="H62" s="14" t="s">
        <v>168</v>
      </c>
      <c r="I62" s="14" t="s">
        <v>169</v>
      </c>
      <c r="J62" s="14" t="s">
        <v>170</v>
      </c>
      <c r="K62" s="14" t="s">
        <v>171</v>
      </c>
      <c r="L62" s="14" t="s">
        <v>172</v>
      </c>
      <c r="M62" s="14" t="s">
        <v>173</v>
      </c>
      <c r="N62" s="14" t="s">
        <v>174</v>
      </c>
      <c r="O62" s="14" t="s">
        <v>175</v>
      </c>
      <c r="P62" s="14" t="s">
        <v>99</v>
      </c>
    </row>
    <row r="63" spans="2:16" x14ac:dyDescent="0.45">
      <c r="B63" s="10" t="s">
        <v>85</v>
      </c>
      <c r="D63" s="16">
        <f>0</f>
        <v>0</v>
      </c>
      <c r="E63" s="16">
        <f t="shared" ref="E63:O63" si="7">D73</f>
        <v>3364.8997372837548</v>
      </c>
      <c r="F63" s="16">
        <f t="shared" si="7"/>
        <v>1735.7994745675069</v>
      </c>
      <c r="G63" s="16">
        <f t="shared" si="7"/>
        <v>262.69921185125895</v>
      </c>
      <c r="H63" s="16">
        <f t="shared" si="7"/>
        <v>-280.40105086498897</v>
      </c>
      <c r="I63" s="16">
        <f t="shared" si="7"/>
        <v>-677.5013135812369</v>
      </c>
      <c r="J63" s="16">
        <f t="shared" si="7"/>
        <v>-18.601576297484826</v>
      </c>
      <c r="K63" s="16">
        <f t="shared" si="7"/>
        <v>786.29816098626634</v>
      </c>
      <c r="L63" s="16">
        <f t="shared" si="7"/>
        <v>3141.1978982700175</v>
      </c>
      <c r="M63" s="16">
        <f t="shared" si="7"/>
        <v>4992.0976355537678</v>
      </c>
      <c r="N63" s="16">
        <f t="shared" si="7"/>
        <v>7492.9973728375189</v>
      </c>
      <c r="O63" s="16">
        <f t="shared" si="7"/>
        <v>10389.89711012127</v>
      </c>
    </row>
    <row r="64" spans="2:16" x14ac:dyDescent="0.45">
      <c r="B64" s="10" t="s">
        <v>86</v>
      </c>
      <c r="D64" s="16">
        <f>C24</f>
        <v>27000</v>
      </c>
      <c r="E64" s="16">
        <f>0</f>
        <v>0</v>
      </c>
      <c r="F64" s="16">
        <f>0</f>
        <v>0</v>
      </c>
      <c r="G64" s="16">
        <f>0</f>
        <v>0</v>
      </c>
      <c r="H64" s="16">
        <f>0</f>
        <v>0</v>
      </c>
      <c r="I64" s="16">
        <f>0</f>
        <v>0</v>
      </c>
      <c r="J64" s="16">
        <f>0</f>
        <v>0</v>
      </c>
      <c r="K64" s="16">
        <f>0</f>
        <v>0</v>
      </c>
      <c r="L64" s="16">
        <f>0</f>
        <v>0</v>
      </c>
      <c r="M64" s="16">
        <f>0</f>
        <v>0</v>
      </c>
      <c r="N64" s="16">
        <f>0</f>
        <v>0</v>
      </c>
      <c r="O64" s="16">
        <f>0</f>
        <v>0</v>
      </c>
    </row>
    <row r="65" spans="2:16" x14ac:dyDescent="0.45">
      <c r="B65" s="10" t="s">
        <v>87</v>
      </c>
      <c r="D65" s="16">
        <f>C25</f>
        <v>12000</v>
      </c>
      <c r="E65" s="16">
        <f>0</f>
        <v>0</v>
      </c>
      <c r="F65" s="16">
        <f>0</f>
        <v>0</v>
      </c>
      <c r="G65" s="16">
        <f>0</f>
        <v>0</v>
      </c>
      <c r="H65" s="16">
        <f>0</f>
        <v>0</v>
      </c>
      <c r="I65" s="16">
        <f>0</f>
        <v>0</v>
      </c>
      <c r="J65" s="16">
        <f>0</f>
        <v>0</v>
      </c>
      <c r="K65" s="16">
        <f>0</f>
        <v>0</v>
      </c>
      <c r="L65" s="16">
        <f>0</f>
        <v>0</v>
      </c>
      <c r="M65" s="16">
        <f>0</f>
        <v>0</v>
      </c>
      <c r="N65" s="16">
        <f>0</f>
        <v>0</v>
      </c>
      <c r="O65" s="16">
        <f>0</f>
        <v>0</v>
      </c>
    </row>
    <row r="66" spans="2:16" x14ac:dyDescent="0.45">
      <c r="B66" s="10" t="s">
        <v>193</v>
      </c>
      <c r="D66" s="16">
        <f>0</f>
        <v>0</v>
      </c>
      <c r="E66" s="16">
        <f t="shared" ref="E66:O66" si="8">D34</f>
        <v>3500</v>
      </c>
      <c r="F66" s="16">
        <f t="shared" si="8"/>
        <v>4150</v>
      </c>
      <c r="G66" s="16">
        <f t="shared" si="8"/>
        <v>5700</v>
      </c>
      <c r="H66" s="16">
        <f t="shared" si="8"/>
        <v>6350</v>
      </c>
      <c r="I66" s="16">
        <f t="shared" si="8"/>
        <v>7900</v>
      </c>
      <c r="J66" s="16">
        <f t="shared" si="8"/>
        <v>8550</v>
      </c>
      <c r="K66" s="16">
        <f t="shared" si="8"/>
        <v>10100</v>
      </c>
      <c r="L66" s="16">
        <f t="shared" si="8"/>
        <v>10100</v>
      </c>
      <c r="M66" s="16">
        <f t="shared" si="8"/>
        <v>10750</v>
      </c>
      <c r="N66" s="16">
        <f t="shared" si="8"/>
        <v>11650</v>
      </c>
      <c r="O66" s="16">
        <f t="shared" si="8"/>
        <v>12300</v>
      </c>
      <c r="P66" s="16">
        <f>SUM(D66:O66)</f>
        <v>91050</v>
      </c>
    </row>
    <row r="67" spans="2:16" x14ac:dyDescent="0.45">
      <c r="B67" s="3" t="s">
        <v>89</v>
      </c>
      <c r="D67" s="1">
        <f t="shared" ref="D67:O67" si="9">SUM(D64:D66)</f>
        <v>39000</v>
      </c>
      <c r="E67" s="1">
        <f t="shared" si="9"/>
        <v>3500</v>
      </c>
      <c r="F67" s="1">
        <f t="shared" si="9"/>
        <v>4150</v>
      </c>
      <c r="G67" s="1">
        <f t="shared" si="9"/>
        <v>5700</v>
      </c>
      <c r="H67" s="1">
        <f t="shared" si="9"/>
        <v>6350</v>
      </c>
      <c r="I67" s="1">
        <f t="shared" si="9"/>
        <v>7900</v>
      </c>
      <c r="J67" s="1">
        <f t="shared" si="9"/>
        <v>8550</v>
      </c>
      <c r="K67" s="1">
        <f t="shared" si="9"/>
        <v>10100</v>
      </c>
      <c r="L67" s="1">
        <f t="shared" si="9"/>
        <v>10100</v>
      </c>
      <c r="M67" s="1">
        <f t="shared" si="9"/>
        <v>10750</v>
      </c>
      <c r="N67" s="1">
        <f t="shared" si="9"/>
        <v>11650</v>
      </c>
      <c r="O67" s="1">
        <f t="shared" si="9"/>
        <v>12300</v>
      </c>
    </row>
    <row r="68" spans="2:16" x14ac:dyDescent="0.45">
      <c r="B68" s="10" t="s">
        <v>90</v>
      </c>
      <c r="D68" s="16">
        <f>C12+C19</f>
        <v>31000</v>
      </c>
      <c r="E68" s="16">
        <f>0</f>
        <v>0</v>
      </c>
      <c r="F68" s="16">
        <f>0</f>
        <v>0</v>
      </c>
      <c r="G68" s="16">
        <f>0</f>
        <v>0</v>
      </c>
      <c r="H68" s="16">
        <f>0</f>
        <v>0</v>
      </c>
      <c r="I68" s="16">
        <f>0</f>
        <v>0</v>
      </c>
      <c r="J68" s="16">
        <f>0</f>
        <v>0</v>
      </c>
      <c r="K68" s="16">
        <f>0</f>
        <v>0</v>
      </c>
      <c r="L68" s="16">
        <f>0</f>
        <v>0</v>
      </c>
      <c r="M68" s="16">
        <f>0</f>
        <v>0</v>
      </c>
      <c r="N68" s="16">
        <f>0</f>
        <v>0</v>
      </c>
      <c r="O68" s="16">
        <f>0</f>
        <v>0</v>
      </c>
    </row>
    <row r="69" spans="2:16" x14ac:dyDescent="0.45">
      <c r="B69" s="10" t="s">
        <v>194</v>
      </c>
      <c r="D69" s="16">
        <f t="shared" ref="D69:O69" si="10">D57-D55</f>
        <v>4386</v>
      </c>
      <c r="E69" s="16">
        <f t="shared" si="10"/>
        <v>4880</v>
      </c>
      <c r="F69" s="16">
        <f t="shared" si="10"/>
        <v>5374</v>
      </c>
      <c r="G69" s="16">
        <f t="shared" si="10"/>
        <v>5994</v>
      </c>
      <c r="H69" s="16">
        <f t="shared" si="10"/>
        <v>6498</v>
      </c>
      <c r="I69" s="16">
        <f t="shared" si="10"/>
        <v>6992</v>
      </c>
      <c r="J69" s="16">
        <f t="shared" si="10"/>
        <v>7496</v>
      </c>
      <c r="K69" s="16">
        <f t="shared" si="10"/>
        <v>7496</v>
      </c>
      <c r="L69" s="16">
        <f t="shared" si="10"/>
        <v>8000</v>
      </c>
      <c r="M69" s="16">
        <f t="shared" si="10"/>
        <v>8000</v>
      </c>
      <c r="N69" s="16">
        <f t="shared" si="10"/>
        <v>8504</v>
      </c>
      <c r="O69" s="16">
        <f t="shared" si="10"/>
        <v>8504</v>
      </c>
    </row>
    <row r="70" spans="2:16" x14ac:dyDescent="0.45">
      <c r="B70" s="10" t="s">
        <v>92</v>
      </c>
      <c r="D70" s="16">
        <f>IF(C25&gt;0,C28,0)</f>
        <v>249.10026271624812</v>
      </c>
      <c r="E70" s="16">
        <f>IF(C25&gt;0,C28,0)</f>
        <v>249.10026271624812</v>
      </c>
      <c r="F70" s="16">
        <f>IF(C25&gt;0,C28,0)</f>
        <v>249.10026271624812</v>
      </c>
      <c r="G70" s="16">
        <f>IF(C25&gt;0,C28,0)</f>
        <v>249.10026271624812</v>
      </c>
      <c r="H70" s="16">
        <f>IF(C25&gt;0,C28,0)</f>
        <v>249.10026271624812</v>
      </c>
      <c r="I70" s="16">
        <f>IF(C25&gt;0,C28,0)</f>
        <v>249.10026271624812</v>
      </c>
      <c r="J70" s="16">
        <f>IF(C25&gt;0,C28,0)</f>
        <v>249.10026271624812</v>
      </c>
      <c r="K70" s="16">
        <f>IF(C25&gt;0,C28,0)</f>
        <v>249.10026271624812</v>
      </c>
      <c r="L70" s="16">
        <f>IF(C25&gt;0,C28,0)</f>
        <v>249.10026271624812</v>
      </c>
      <c r="M70" s="16">
        <f>IF(C25&gt;0,C28,0)</f>
        <v>249.10026271624812</v>
      </c>
      <c r="N70" s="16">
        <f>IF(C25&gt;0,C28,0)</f>
        <v>249.10026271624812</v>
      </c>
      <c r="O70" s="16">
        <f>IF(C25&gt;0,C28,0)</f>
        <v>249.10026271624812</v>
      </c>
    </row>
    <row r="71" spans="2:16" x14ac:dyDescent="0.45">
      <c r="B71" s="10" t="s">
        <v>93</v>
      </c>
      <c r="D71" s="16">
        <f t="shared" ref="D71:O71" si="11">D59</f>
        <v>0</v>
      </c>
      <c r="E71" s="16">
        <f t="shared" si="11"/>
        <v>0</v>
      </c>
      <c r="F71" s="16">
        <f t="shared" si="11"/>
        <v>0</v>
      </c>
      <c r="G71" s="16">
        <f t="shared" si="11"/>
        <v>0</v>
      </c>
      <c r="H71" s="16">
        <f t="shared" si="11"/>
        <v>0</v>
      </c>
      <c r="I71" s="16">
        <f t="shared" si="11"/>
        <v>0</v>
      </c>
      <c r="J71" s="16">
        <f t="shared" si="11"/>
        <v>0</v>
      </c>
      <c r="K71" s="16">
        <f t="shared" si="11"/>
        <v>0</v>
      </c>
      <c r="L71" s="16">
        <f t="shared" si="11"/>
        <v>0</v>
      </c>
      <c r="M71" s="16">
        <f t="shared" si="11"/>
        <v>0</v>
      </c>
      <c r="N71" s="16">
        <f t="shared" si="11"/>
        <v>0</v>
      </c>
      <c r="O71" s="16">
        <f t="shared" si="11"/>
        <v>0</v>
      </c>
    </row>
    <row r="72" spans="2:16" x14ac:dyDescent="0.45">
      <c r="B72" s="3" t="s">
        <v>94</v>
      </c>
      <c r="D72" s="1">
        <f t="shared" ref="D72:O72" si="12">SUM(D68:D71)</f>
        <v>35635.100262716245</v>
      </c>
      <c r="E72" s="1">
        <f t="shared" si="12"/>
        <v>5129.1002627162479</v>
      </c>
      <c r="F72" s="1">
        <f t="shared" si="12"/>
        <v>5623.1002627162479</v>
      </c>
      <c r="G72" s="1">
        <f t="shared" si="12"/>
        <v>6243.1002627162479</v>
      </c>
      <c r="H72" s="1">
        <f t="shared" si="12"/>
        <v>6747.1002627162479</v>
      </c>
      <c r="I72" s="1">
        <f t="shared" si="12"/>
        <v>7241.1002627162479</v>
      </c>
      <c r="J72" s="1">
        <f t="shared" si="12"/>
        <v>7745.1002627162479</v>
      </c>
      <c r="K72" s="1">
        <f t="shared" si="12"/>
        <v>7745.1002627162479</v>
      </c>
      <c r="L72" s="1">
        <f t="shared" si="12"/>
        <v>8249.1002627162488</v>
      </c>
      <c r="M72" s="1">
        <f t="shared" si="12"/>
        <v>8249.1002627162488</v>
      </c>
      <c r="N72" s="1">
        <f t="shared" si="12"/>
        <v>8753.1002627162488</v>
      </c>
      <c r="O72" s="1">
        <f t="shared" si="12"/>
        <v>8753.1002627162488</v>
      </c>
    </row>
    <row r="73" spans="2:16" x14ac:dyDescent="0.45">
      <c r="B73" s="3" t="s">
        <v>95</v>
      </c>
      <c r="D73" s="1">
        <f t="shared" ref="D73:O73" si="13">D63+D67-D72</f>
        <v>3364.8997372837548</v>
      </c>
      <c r="E73" s="1">
        <f t="shared" si="13"/>
        <v>1735.7994745675069</v>
      </c>
      <c r="F73" s="1">
        <f t="shared" si="13"/>
        <v>262.69921185125895</v>
      </c>
      <c r="G73" s="1">
        <f t="shared" si="13"/>
        <v>-280.40105086498897</v>
      </c>
      <c r="H73" s="1">
        <f t="shared" si="13"/>
        <v>-677.5013135812369</v>
      </c>
      <c r="I73" s="1">
        <f t="shared" si="13"/>
        <v>-18.601576297484826</v>
      </c>
      <c r="J73" s="1">
        <f t="shared" si="13"/>
        <v>786.29816098626634</v>
      </c>
      <c r="K73" s="1">
        <f t="shared" si="13"/>
        <v>3141.1978982700175</v>
      </c>
      <c r="L73" s="1">
        <f t="shared" si="13"/>
        <v>4992.0976355537678</v>
      </c>
      <c r="M73" s="1">
        <f t="shared" si="13"/>
        <v>7492.9973728375189</v>
      </c>
      <c r="N73" s="1">
        <f t="shared" si="13"/>
        <v>10389.89711012127</v>
      </c>
      <c r="O73" s="1">
        <f t="shared" si="13"/>
        <v>13936.796847405021</v>
      </c>
    </row>
    <row r="74" spans="2:16" ht="3.75" customHeight="1" x14ac:dyDescent="0.45"/>
    <row r="75" spans="2:16" x14ac:dyDescent="0.45">
      <c r="B75" s="3" t="s">
        <v>96</v>
      </c>
      <c r="D75" s="53">
        <f>MIN(D73:O73)</f>
        <v>-677.5013135812369</v>
      </c>
      <c r="E75" s="53"/>
    </row>
    <row r="76" spans="2:16" ht="7.5" customHeight="1" x14ac:dyDescent="0.45"/>
    <row r="77" spans="2:16" ht="21.75" customHeight="1" x14ac:dyDescent="0.45">
      <c r="B77" s="41" t="s">
        <v>195</v>
      </c>
      <c r="C77" s="41"/>
      <c r="D77" s="41"/>
      <c r="E77" s="41"/>
      <c r="F77" s="41"/>
      <c r="G77" s="41"/>
      <c r="H77" s="41"/>
      <c r="I77" s="41"/>
      <c r="J77" s="41"/>
      <c r="K77" s="41"/>
      <c r="L77" s="41"/>
      <c r="M77" s="41"/>
      <c r="N77" s="41"/>
      <c r="O77" s="41"/>
      <c r="P77" s="41"/>
    </row>
    <row r="78" spans="2:16" x14ac:dyDescent="0.45">
      <c r="B78" s="5" t="s">
        <v>98</v>
      </c>
      <c r="C78" s="14" t="s">
        <v>99</v>
      </c>
      <c r="D78" s="14" t="s">
        <v>100</v>
      </c>
    </row>
    <row r="79" spans="2:16" x14ac:dyDescent="0.45">
      <c r="B79" s="10" t="s">
        <v>102</v>
      </c>
      <c r="C79" s="16">
        <f>P34</f>
        <v>103350</v>
      </c>
      <c r="D79" s="17">
        <v>1</v>
      </c>
    </row>
    <row r="80" spans="2:16" x14ac:dyDescent="0.45">
      <c r="B80" s="10" t="s">
        <v>196</v>
      </c>
      <c r="C80" s="16">
        <f>(P41+P42+P43)</f>
        <v>63684</v>
      </c>
      <c r="D80" s="17">
        <f>IFERROR(C80/C79,0)</f>
        <v>0.61619738751814224</v>
      </c>
    </row>
    <row r="81" spans="2:16" x14ac:dyDescent="0.45">
      <c r="B81" s="10" t="s">
        <v>104</v>
      </c>
      <c r="C81" s="16">
        <f>P45-(P41+P42+P43)</f>
        <v>3800</v>
      </c>
      <c r="D81" s="17">
        <f>IFERROR(C81/C79,0)</f>
        <v>3.6768263183357526E-2</v>
      </c>
    </row>
    <row r="82" spans="2:16" x14ac:dyDescent="0.45">
      <c r="B82" s="3" t="s">
        <v>105</v>
      </c>
      <c r="C82" s="1">
        <f>P45</f>
        <v>67484</v>
      </c>
      <c r="D82" s="17">
        <f>IFERROR(C82/C79,0)</f>
        <v>0.65296565070149981</v>
      </c>
    </row>
    <row r="83" spans="2:16" x14ac:dyDescent="0.45">
      <c r="B83" s="3" t="s">
        <v>106</v>
      </c>
      <c r="C83" s="1">
        <f>C79-C82</f>
        <v>35866</v>
      </c>
      <c r="D83" s="17">
        <f>IFERROR(C83/C79,0)</f>
        <v>0.34703434929850024</v>
      </c>
    </row>
    <row r="84" spans="2:16" x14ac:dyDescent="0.45">
      <c r="B84" s="18" t="s">
        <v>108</v>
      </c>
      <c r="C84" s="19">
        <f>IFERROR((P41+P42+P43)/C79,0)</f>
        <v>0.61619738751814224</v>
      </c>
    </row>
    <row r="85" spans="2:16" x14ac:dyDescent="0.45">
      <c r="B85" s="10" t="s">
        <v>110</v>
      </c>
      <c r="C85" s="16">
        <f>P56-P55</f>
        <v>14640</v>
      </c>
      <c r="D85" s="17">
        <f>IFERROR(C85/C79,0)</f>
        <v>0.14165457184325109</v>
      </c>
    </row>
    <row r="86" spans="2:16" x14ac:dyDescent="0.45">
      <c r="B86" s="10" t="s">
        <v>76</v>
      </c>
      <c r="C86" s="16">
        <f>P55</f>
        <v>999.24287738836301</v>
      </c>
      <c r="D86" s="17">
        <f>IFERROR(C86/C79,0)</f>
        <v>9.6685329210291528E-3</v>
      </c>
    </row>
    <row r="87" spans="2:16" x14ac:dyDescent="0.45">
      <c r="B87" s="10" t="s">
        <v>111</v>
      </c>
      <c r="C87" s="16">
        <f>C19</f>
        <v>6500</v>
      </c>
      <c r="D87" s="17">
        <f>IFERROR(C87/C79,0)</f>
        <v>6.2893081761006289E-2</v>
      </c>
    </row>
    <row r="88" spans="2:16" x14ac:dyDescent="0.45">
      <c r="B88" s="3" t="s">
        <v>113</v>
      </c>
      <c r="C88" s="1">
        <f>SUM(C85:C87)</f>
        <v>22139.242877388362</v>
      </c>
      <c r="D88" s="17">
        <f>IFERROR(C88/C79,0)</f>
        <v>0.21421618652528651</v>
      </c>
    </row>
    <row r="89" spans="2:16" x14ac:dyDescent="0.45">
      <c r="B89" s="3" t="s">
        <v>114</v>
      </c>
      <c r="C89" s="9">
        <f>C83-C88</f>
        <v>13726.757122611638</v>
      </c>
      <c r="D89" s="20">
        <f>IFERROR(C89/C79,0)</f>
        <v>0.13281816277321373</v>
      </c>
    </row>
    <row r="90" spans="2:16" x14ac:dyDescent="0.45">
      <c r="B90" s="10" t="s">
        <v>116</v>
      </c>
      <c r="C90" s="16">
        <f>IF(OR(C79=0,C82&gt;=C79),0,(C85+C86)/12/(1-C82/C79))</f>
        <v>3755.450267147362</v>
      </c>
    </row>
    <row r="91" spans="2:16" x14ac:dyDescent="0.45">
      <c r="B91" s="10" t="s">
        <v>118</v>
      </c>
      <c r="C91" s="16">
        <f>C79/12</f>
        <v>8612.5</v>
      </c>
    </row>
    <row r="92" spans="2:16" ht="7.5" customHeight="1" x14ac:dyDescent="0.45"/>
    <row r="93" spans="2:16" ht="21.75" customHeight="1" x14ac:dyDescent="0.45">
      <c r="B93" s="41" t="s">
        <v>197</v>
      </c>
      <c r="C93" s="41"/>
      <c r="D93" s="41"/>
      <c r="E93" s="41"/>
      <c r="F93" s="41"/>
      <c r="G93" s="41"/>
      <c r="H93" s="41"/>
      <c r="I93" s="41"/>
      <c r="J93" s="41"/>
      <c r="K93" s="41"/>
      <c r="L93" s="41"/>
      <c r="M93" s="41"/>
      <c r="N93" s="41"/>
      <c r="O93" s="41"/>
      <c r="P93" s="41"/>
    </row>
    <row r="94" spans="2:16" x14ac:dyDescent="0.45">
      <c r="B94" s="5" t="s">
        <v>121</v>
      </c>
      <c r="C94" s="14" t="s">
        <v>18</v>
      </c>
    </row>
    <row r="95" spans="2:16" x14ac:dyDescent="0.45">
      <c r="B95" s="10" t="s">
        <v>123</v>
      </c>
      <c r="C95" s="16">
        <f>O73</f>
        <v>13936.796847405021</v>
      </c>
    </row>
    <row r="96" spans="2:16" x14ac:dyDescent="0.45">
      <c r="B96" s="10" t="s">
        <v>124</v>
      </c>
      <c r="C96" s="16">
        <f>P34-P66</f>
        <v>12300</v>
      </c>
    </row>
    <row r="97" spans="2:16" x14ac:dyDescent="0.45">
      <c r="B97" s="10" t="s">
        <v>126</v>
      </c>
      <c r="C97" s="16">
        <f>C12</f>
        <v>24500</v>
      </c>
    </row>
    <row r="98" spans="2:16" x14ac:dyDescent="0.45">
      <c r="B98" s="3" t="s">
        <v>128</v>
      </c>
      <c r="C98" s="1">
        <f>SUM(C95:C97)</f>
        <v>50736.796847405021</v>
      </c>
    </row>
    <row r="99" spans="2:16" x14ac:dyDescent="0.45">
      <c r="B99" s="10" t="s">
        <v>130</v>
      </c>
      <c r="C99" s="16">
        <f>IF(C25=0,0,IF(C27*12&lt;=12,0,-CUMPRINC(C26/12,C27*12,C25,13,24,0)))</f>
        <v>2176.6322751122434</v>
      </c>
    </row>
    <row r="100" spans="2:16" x14ac:dyDescent="0.45">
      <c r="B100" s="10" t="s">
        <v>132</v>
      </c>
      <c r="C100" s="16">
        <f>IF(C25=0,0,C25+CUMPRINC(C26/12,C27*12,C25,1,12,0)-C99)</f>
        <v>7833.4074496811418</v>
      </c>
    </row>
    <row r="101" spans="2:16" x14ac:dyDescent="0.45">
      <c r="B101" s="3" t="s">
        <v>133</v>
      </c>
      <c r="C101" s="1">
        <f>C99+C100</f>
        <v>10010.039724793385</v>
      </c>
    </row>
    <row r="102" spans="2:16" x14ac:dyDescent="0.45">
      <c r="B102" s="10" t="s">
        <v>135</v>
      </c>
      <c r="C102" s="16">
        <f>C24</f>
        <v>27000</v>
      </c>
    </row>
    <row r="103" spans="2:16" x14ac:dyDescent="0.45">
      <c r="B103" s="10" t="s">
        <v>136</v>
      </c>
      <c r="C103" s="16">
        <f>-P59</f>
        <v>0</v>
      </c>
    </row>
    <row r="104" spans="2:16" x14ac:dyDescent="0.45">
      <c r="B104" s="10" t="s">
        <v>137</v>
      </c>
      <c r="C104" s="16">
        <f>C89</f>
        <v>13726.757122611638</v>
      </c>
    </row>
    <row r="105" spans="2:16" x14ac:dyDescent="0.45">
      <c r="B105" s="3" t="s">
        <v>138</v>
      </c>
      <c r="C105" s="1">
        <f>SUM(C102:C104)</f>
        <v>40726.757122611642</v>
      </c>
    </row>
    <row r="106" spans="2:16" x14ac:dyDescent="0.45">
      <c r="B106" s="3" t="s">
        <v>139</v>
      </c>
      <c r="C106" s="1">
        <f>C101+C105</f>
        <v>50736.796847405029</v>
      </c>
    </row>
    <row r="107" spans="2:16" x14ac:dyDescent="0.45">
      <c r="B107" s="3" t="s">
        <v>140</v>
      </c>
      <c r="C107" s="21" t="str">
        <f>IF(ROUND(C98-C106,0)=0,"Balanced",TEXT(C98-C106,"$#,##0")&amp;" off")</f>
        <v>Balanced</v>
      </c>
    </row>
    <row r="108" spans="2:16" ht="18" customHeight="1" x14ac:dyDescent="0.45">
      <c r="B108" s="24" t="s">
        <v>142</v>
      </c>
      <c r="C108" s="25"/>
      <c r="D108" s="25"/>
      <c r="E108" s="25"/>
      <c r="F108" s="25"/>
      <c r="G108" s="25"/>
      <c r="H108" s="25"/>
      <c r="I108" s="25"/>
      <c r="J108" s="25"/>
      <c r="K108" s="25"/>
      <c r="L108" s="25"/>
      <c r="M108" s="25"/>
      <c r="N108" s="25"/>
      <c r="O108" s="25"/>
      <c r="P108" s="25"/>
    </row>
    <row r="109" spans="2:16" x14ac:dyDescent="0.45">
      <c r="B109" s="10" t="s">
        <v>143</v>
      </c>
      <c r="C109" s="22">
        <f>IFERROR(C95/(P57/12),0)</f>
        <v>2.0119710971280478</v>
      </c>
    </row>
    <row r="110" spans="2:16" x14ac:dyDescent="0.45">
      <c r="B110" s="10" t="s">
        <v>145</v>
      </c>
      <c r="C110" s="23">
        <f>IFERROR(C101/C98,0)</f>
        <v>0.19729349006598468</v>
      </c>
    </row>
    <row r="111" spans="2:16" x14ac:dyDescent="0.45">
      <c r="B111" s="10" t="s">
        <v>147</v>
      </c>
      <c r="C111" s="23">
        <f>IFERROR(C105/C98,0)</f>
        <v>0.80270650993401538</v>
      </c>
    </row>
    <row r="112" spans="2:16" ht="7.5" customHeight="1" x14ac:dyDescent="0.45"/>
    <row r="113" spans="2:16" x14ac:dyDescent="0.45">
      <c r="B113" s="54" t="s">
        <v>198</v>
      </c>
      <c r="C113" s="54"/>
      <c r="D113" s="54"/>
      <c r="E113" s="54"/>
      <c r="F113" s="54"/>
      <c r="G113" s="54"/>
      <c r="H113" s="54"/>
      <c r="I113" s="54"/>
      <c r="J113" s="54"/>
      <c r="K113" s="54"/>
      <c r="L113" s="54"/>
      <c r="M113" s="54"/>
      <c r="N113" s="54"/>
      <c r="O113" s="54"/>
      <c r="P113" s="54"/>
    </row>
    <row r="114" spans="2:16" ht="30" customHeight="1" x14ac:dyDescent="0.45">
      <c r="B114" s="56" t="s">
        <v>199</v>
      </c>
      <c r="C114" s="56"/>
      <c r="D114" s="56"/>
      <c r="E114" s="56"/>
      <c r="F114" s="56"/>
      <c r="G114" s="56"/>
      <c r="H114" s="56"/>
      <c r="I114" s="56"/>
      <c r="J114" s="56"/>
      <c r="K114" s="56"/>
      <c r="L114" s="56"/>
      <c r="M114" s="56"/>
      <c r="N114" s="56"/>
      <c r="O114" s="56"/>
      <c r="P114" s="56"/>
    </row>
    <row r="115" spans="2:16" ht="4.5" customHeight="1" x14ac:dyDescent="0.45">
      <c r="B115" s="56"/>
      <c r="C115" s="56"/>
      <c r="D115" s="56"/>
      <c r="E115" s="56"/>
      <c r="F115" s="56"/>
      <c r="G115" s="56"/>
      <c r="H115" s="56"/>
      <c r="I115" s="56"/>
      <c r="J115" s="56"/>
      <c r="K115" s="56"/>
      <c r="L115" s="56"/>
      <c r="M115" s="56"/>
      <c r="N115" s="56"/>
      <c r="O115" s="56"/>
      <c r="P115" s="56"/>
    </row>
    <row r="116" spans="2:16" ht="19.5" customHeight="1" x14ac:dyDescent="0.45">
      <c r="B116" s="57" t="s">
        <v>200</v>
      </c>
      <c r="C116" s="57"/>
      <c r="D116" s="57"/>
      <c r="E116" s="57"/>
      <c r="F116" s="57"/>
      <c r="G116" s="57"/>
      <c r="H116" s="57"/>
      <c r="I116" s="57"/>
      <c r="J116" s="57"/>
      <c r="K116" s="57"/>
      <c r="L116" s="57"/>
      <c r="M116" s="57"/>
      <c r="N116" s="57"/>
      <c r="O116" s="57"/>
      <c r="P116" s="57"/>
    </row>
  </sheetData>
  <sheetProtection sheet="1"/>
  <mergeCells count="15">
    <mergeCell ref="B77:P77"/>
    <mergeCell ref="B93:P93"/>
    <mergeCell ref="B113:P113"/>
    <mergeCell ref="B114:P115"/>
    <mergeCell ref="B116:P116"/>
    <mergeCell ref="B30:P30"/>
    <mergeCell ref="B36:P36"/>
    <mergeCell ref="B38:P38"/>
    <mergeCell ref="B61:P61"/>
    <mergeCell ref="D75:E75"/>
    <mergeCell ref="B1:P1"/>
    <mergeCell ref="B2:P2"/>
    <mergeCell ref="B4:P4"/>
    <mergeCell ref="B5:P5"/>
    <mergeCell ref="B7:P7"/>
  </mergeCells>
  <conditionalFormatting sqref="D75:E75">
    <cfRule type="cellIs" dxfId="1" priority="3" operator="lessThan">
      <formula>0</formula>
    </cfRule>
  </conditionalFormatting>
  <conditionalFormatting sqref="D73:O73">
    <cfRule type="cellIs" dxfId="0" priority="2" operator="lessThan">
      <formula>0</formula>
    </cfRule>
  </conditionalFormatting>
  <pageMargins left="0.4" right="0.4" top="0.4" bottom="0.25" header="0.511811023622047" footer="0.511811023622047"/>
  <pageSetup paperSize="5" scale="95" fitToHeight="0" orientation="landscape" horizontalDpi="300" verticalDpi="300" r:id="rId1"/>
  <rowBreaks count="2" manualBreakCount="2">
    <brk id="37" max="16383" man="1"/>
    <brk id="7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7"/>
  <sheetViews>
    <sheetView showGridLines="0" zoomScaleNormal="100" workbookViewId="0"/>
  </sheetViews>
  <sheetFormatPr defaultColWidth="8.6640625" defaultRowHeight="14.25" x14ac:dyDescent="0.45"/>
  <cols>
    <col min="1" max="1" width="44" customWidth="1"/>
    <col min="2" max="2" width="84" customWidth="1"/>
  </cols>
  <sheetData>
    <row r="1" spans="1:2" x14ac:dyDescent="0.45">
      <c r="A1" s="3" t="s">
        <v>201</v>
      </c>
    </row>
    <row r="2" spans="1:2" x14ac:dyDescent="0.45">
      <c r="A2" s="29" t="s">
        <v>5</v>
      </c>
    </row>
    <row r="3" spans="1:2" x14ac:dyDescent="0.45">
      <c r="A3" s="29" t="s">
        <v>202</v>
      </c>
    </row>
    <row r="4" spans="1:2" ht="25.5" customHeight="1" x14ac:dyDescent="0.45">
      <c r="A4" s="51" t="s">
        <v>203</v>
      </c>
      <c r="B4" s="51"/>
    </row>
    <row r="6" spans="1:2" ht="19.5" customHeight="1" x14ac:dyDescent="0.45">
      <c r="A6" s="41" t="s">
        <v>204</v>
      </c>
      <c r="B6" s="41"/>
    </row>
    <row r="7" spans="1:2" ht="21.75" customHeight="1" x14ac:dyDescent="0.45">
      <c r="A7" s="51" t="s">
        <v>205</v>
      </c>
      <c r="B7" s="51"/>
    </row>
    <row r="8" spans="1:2" ht="37.5" customHeight="1" x14ac:dyDescent="0.45">
      <c r="A8" s="30" t="s">
        <v>8</v>
      </c>
      <c r="B8" s="31" t="s">
        <v>206</v>
      </c>
    </row>
    <row r="9" spans="1:2" ht="37.5" customHeight="1" x14ac:dyDescent="0.45">
      <c r="A9" s="30" t="s">
        <v>9</v>
      </c>
      <c r="B9" s="31" t="s">
        <v>207</v>
      </c>
    </row>
    <row r="10" spans="1:2" ht="52.5" customHeight="1" x14ac:dyDescent="0.45">
      <c r="A10" s="30" t="s">
        <v>10</v>
      </c>
      <c r="B10" s="31" t="s">
        <v>208</v>
      </c>
    </row>
    <row r="11" spans="1:2" ht="52.5" customHeight="1" x14ac:dyDescent="0.45">
      <c r="A11" s="30" t="s">
        <v>11</v>
      </c>
      <c r="B11" s="31" t="s">
        <v>209</v>
      </c>
    </row>
    <row r="13" spans="1:2" ht="19.5" customHeight="1" x14ac:dyDescent="0.45">
      <c r="A13" s="41" t="s">
        <v>210</v>
      </c>
      <c r="B13" s="41"/>
    </row>
    <row r="14" spans="1:2" ht="21.75" customHeight="1" x14ac:dyDescent="0.45">
      <c r="A14" s="51" t="s">
        <v>211</v>
      </c>
      <c r="B14" s="51"/>
    </row>
    <row r="15" spans="1:2" ht="52.5" customHeight="1" x14ac:dyDescent="0.45">
      <c r="A15" s="30" t="s">
        <v>212</v>
      </c>
      <c r="B15" s="31" t="s">
        <v>213</v>
      </c>
    </row>
    <row r="16" spans="1:2" ht="67.5" customHeight="1" x14ac:dyDescent="0.45">
      <c r="A16" s="30" t="s">
        <v>214</v>
      </c>
      <c r="B16" s="31" t="s">
        <v>215</v>
      </c>
    </row>
    <row r="17" spans="1:15" ht="52.5" customHeight="1" x14ac:dyDescent="0.45">
      <c r="A17" s="30" t="s">
        <v>216</v>
      </c>
      <c r="B17" s="31" t="s">
        <v>217</v>
      </c>
    </row>
    <row r="18" spans="1:15" ht="37.5" customHeight="1" x14ac:dyDescent="0.45">
      <c r="A18" s="30" t="s">
        <v>218</v>
      </c>
      <c r="B18" s="31" t="s">
        <v>219</v>
      </c>
    </row>
    <row r="19" spans="1:15" ht="52.5" customHeight="1" x14ac:dyDescent="0.45">
      <c r="A19" s="30" t="s">
        <v>220</v>
      </c>
      <c r="B19" s="31" t="s">
        <v>221</v>
      </c>
    </row>
    <row r="25" spans="1:15" x14ac:dyDescent="0.45">
      <c r="D25">
        <f>IF('2. Sales Forecast'!D11&gt;='Income Statement'!$C$23,1,9999)</f>
        <v>1</v>
      </c>
      <c r="E25">
        <f>IF('2. Sales Forecast'!E11&gt;='Income Statement'!$C$23,2,9999)</f>
        <v>2</v>
      </c>
      <c r="F25">
        <f>IF('2. Sales Forecast'!F11&gt;='Income Statement'!$C$23,3,9999)</f>
        <v>3</v>
      </c>
      <c r="G25">
        <f>IF('2. Sales Forecast'!G11&gt;='Income Statement'!$C$23,4,9999)</f>
        <v>4</v>
      </c>
      <c r="H25">
        <f>IF('2. Sales Forecast'!H11&gt;='Income Statement'!$C$23,5,9999)</f>
        <v>5</v>
      </c>
      <c r="I25">
        <f>IF('2. Sales Forecast'!I11&gt;='Income Statement'!$C$23,6,9999)</f>
        <v>6</v>
      </c>
      <c r="J25">
        <f>IF('2. Sales Forecast'!J11&gt;='Income Statement'!$C$23,7,9999)</f>
        <v>7</v>
      </c>
      <c r="K25">
        <f>IF('2. Sales Forecast'!K11&gt;='Income Statement'!$C$23,8,9999)</f>
        <v>8</v>
      </c>
      <c r="L25">
        <f>IF('2. Sales Forecast'!L11&gt;='Income Statement'!$C$23,9,9999)</f>
        <v>9</v>
      </c>
      <c r="M25">
        <f>IF('2. Sales Forecast'!M11&gt;='Income Statement'!$C$23,10,9999)</f>
        <v>10</v>
      </c>
      <c r="N25">
        <f>IF('2. Sales Forecast'!N11&gt;='Income Statement'!$C$23,11,9999)</f>
        <v>11</v>
      </c>
      <c r="O25">
        <f>IF('2. Sales Forecast'!O11&gt;='Income Statement'!$C$23,12,9999)</f>
        <v>12</v>
      </c>
    </row>
    <row r="27" spans="1:15" x14ac:dyDescent="0.45">
      <c r="D27">
        <f>MIN(D25:O25)</f>
        <v>1</v>
      </c>
    </row>
  </sheetData>
  <mergeCells count="5">
    <mergeCell ref="A4:B4"/>
    <mergeCell ref="A6:B6"/>
    <mergeCell ref="A7:B7"/>
    <mergeCell ref="A13:B13"/>
    <mergeCell ref="A14:B14"/>
  </mergeCells>
  <pageMargins left="0.5" right="0.5" top="0.6" bottom="0.6"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Start Here</vt:lpstr>
      <vt:lpstr>1. Startup Costs</vt:lpstr>
      <vt:lpstr>2. Sales Forecast</vt:lpstr>
      <vt:lpstr>3. Monthly Expenses</vt:lpstr>
      <vt:lpstr>Cash Flow Projection</vt:lpstr>
      <vt:lpstr>Income Statement</vt:lpstr>
      <vt:lpstr>Balance Sheet</vt:lpstr>
      <vt:lpstr>Completed Example</vt:lpstr>
      <vt:lpstr>Settings</vt:lpstr>
      <vt:lpstr>PaymentTiming</vt:lpstr>
      <vt:lpstr>PayTiming</vt:lpstr>
      <vt:lpstr>'1. Startup Costs'!Print_Area</vt:lpstr>
      <vt:lpstr>'2. Sales Forecast'!Print_Area</vt:lpstr>
      <vt:lpstr>'3. Monthly Expenses'!Print_Area</vt:lpstr>
      <vt:lpstr>'Balance Sheet'!Print_Area</vt:lpstr>
      <vt:lpstr>'Cash Flow Projection'!Print_Area</vt:lpstr>
      <vt:lpstr>'Completed Example'!Print_Area</vt:lpstr>
      <vt:lpstr>'Income Statement'!Print_Area</vt:lpstr>
      <vt:lpstr>Settings!Print_Area</vt:lpstr>
      <vt:lpstr>'Start Here'!Print_Area</vt:lpstr>
      <vt:lpstr>'2. Sales Forecast'!Print_Titles</vt:lpstr>
      <vt:lpstr>'3. Monthly Expenses'!Print_Titles</vt:lpstr>
      <vt:lpstr>'Cash Flow Projection'!Print_Titles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 TODD GORHAM</cp:lastModifiedBy>
  <cp:revision>0</cp:revision>
  <cp:lastPrinted>2026-09-06T16:43:13Z</cp:lastPrinted>
  <dcterms:created xsi:type="dcterms:W3CDTF">2026-09-06T02:26:33Z</dcterms:created>
  <dcterms:modified xsi:type="dcterms:W3CDTF">2026-09-06T17:11:53Z</dcterms:modified>
  <dc:language>en-US</dc:language>
</cp:coreProperties>
</file>